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58ac605b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1d08e9c24964b1a"/>
    <x:sheet xmlns:r="http://schemas.openxmlformats.org/officeDocument/2006/relationships" name="Daily Calendar" sheetId="2" r:id="R317cef376a2a4d8d"/>
    <x:sheet xmlns:r="http://schemas.openxmlformats.org/officeDocument/2006/relationships" name="Key Dates" sheetId="3" r:id="R49de1c9e72284793"/>
    <x:sheet xmlns:r="http://schemas.openxmlformats.org/officeDocument/2006/relationships" name="Devotional Calendar" sheetId="4" r:id="R70eda14b45e6402c"/>
    <x:sheet xmlns:r="http://schemas.openxmlformats.org/officeDocument/2006/relationships" name="9-Day Novena Planner" sheetId="5" r:id="Rb1493e21b6cc4156"/>
    <x:sheet xmlns:r="http://schemas.openxmlformats.org/officeDocument/2006/relationships" name="Traditional &amp; Historical" sheetId="6" r:id="R0599c15b583b403b"/>
    <x:sheet xmlns:r="http://schemas.openxmlformats.org/officeDocument/2006/relationships" name="Mass Obligations" sheetId="7" r:id="Rc4d2a70acd76465d"/>
    <x:sheet xmlns:r="http://schemas.openxmlformats.org/officeDocument/2006/relationships" name="Sources" sheetId="8" r:id="Re9f27526b29f4361"/>
    <x:sheet xmlns:r="http://schemas.openxmlformats.org/officeDocument/2006/relationships" name="Liturgy of the Hours" sheetId="9" r:id="R6f9a43395cbe45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1F4E78"/>
      <x:name val="Carlito"/>
    </x:font>
    <x:font>
      <x:b/>
      <x:sz val="15"/>
      <x:color rgb="FFFFFFFF"/>
      <x:name val="Carlito"/>
    </x:font>
  </x:fonts>
  <x:fills count="34">
    <x:fill>
      <x:patternFill patternType="none"/>
    </x:fill>
    <x:fill>
      <x:patternFill patternType="gray125"/>
    </x:fill>
    <x:fill>
      <x:patternFill patternType="solid">
        <x:fgColor rgb="FF3C3154"/>
      </x:patternFill>
    </x:fill>
    <x:fill>
      <x:patternFill patternType="solid">
        <x:fgColor rgb="FFF0EDF5"/>
      </x:patternFill>
    </x:fill>
    <x:fill>
      <x:patternFill patternType="solid">
        <x:fgColor rgb="FF4D6473"/>
      </x:patternFill>
    </x:fill>
    <x:fill>
      <x:patternFill patternType="solid">
        <x:fgColor rgb="FFEAF4E3"/>
      </x:patternFill>
    </x:fill>
    <x:fill>
      <x:patternFill patternType="solid">
        <x:fgColor rgb="FFEEE5F6"/>
      </x:patternFill>
    </x:fill>
    <x:fill>
      <x:patternFill patternType="solid">
        <x:fgColor rgb="FFFFF3C4"/>
      </x:patternFill>
    </x:fill>
    <x:fill>
      <x:patternFill patternType="solid">
        <x:fgColor rgb="FFE6D9EF"/>
      </x:patternFill>
    </x:fill>
    <x:fill>
      <x:patternFill patternType="solid">
        <x:fgColor rgb="FFF6D5D5"/>
      </x:patternFill>
    </x:fill>
    <x:fill>
      <x:patternFill patternType="solid">
        <x:fgColor rgb="FFFFF7D6"/>
      </x:patternFill>
    </x:fill>
    <x:fill>
      <x:patternFill patternType="solid">
        <x:fgColor rgb="FFDDEEFF"/>
      </x:patternFill>
    </x:fill>
    <x:fill>
      <x:patternFill patternType="solid">
        <x:fgColor rgb="FFFFF2B2"/>
      </x:patternFill>
    </x:fill>
    <x:fill>
      <x:patternFill patternType="solid">
        <x:fgColor rgb="FFDDF3EE"/>
      </x:patternFill>
    </x:fill>
    <x:fill>
      <x:patternFill patternType="solid">
        <x:fgColor rgb="FFEAE0EF"/>
      </x:patternFill>
    </x:fill>
    <x:fill>
      <x:patternFill patternType="solid">
        <x:fgColor rgb="FFEFE3CF"/>
      </x:patternFill>
    </x:fill>
    <x:fill>
      <x:patternFill patternType="solid">
        <x:fgColor rgb="FF5C476B"/>
      </x:patternFill>
    </x:fill>
    <x:fill>
      <x:patternFill patternType="solid">
        <x:fgColor rgb="FF296B65"/>
      </x:patternFill>
    </x:fill>
    <x:fill>
      <x:patternFill patternType="solid">
        <x:fgColor rgb="FF346A8A"/>
      </x:patternFill>
    </x:fill>
    <x:fill>
      <x:patternFill patternType="solid">
        <x:fgColor rgb="FF786446"/>
      </x:patternFill>
    </x:fill>
    <x:fill>
      <x:patternFill patternType="solid">
        <x:fgColor rgb="FF9A7721"/>
      </x:patternFill>
    </x:fill>
    <x:fill>
      <x:patternFill patternType="solid">
        <x:fgColor rgb="FF37474F"/>
      </x:patternFill>
    </x:fill>
    <x:fill>
      <x:patternFill patternType="solid">
        <x:fgColor rgb="FFF0EDF5"/>
      </x:patternFill>
    </x:fill>
    <x:fill>
      <x:patternFill patternType="solid">
        <x:fgColor rgb="FF3C3154"/>
      </x:patternFill>
    </x:fill>
    <x:fill>
      <x:patternFill patternType="solid">
        <x:fgColor rgb="FF5C476B"/>
      </x:patternFill>
    </x:fill>
    <x:fill>
      <x:patternFill patternType="solid">
        <x:fgColor rgb="FF5B4B75"/>
      </x:patternFill>
    </x:fill>
    <x:fill>
      <x:patternFill patternType="solid">
        <x:fgColor rgb="FFEEE9F4"/>
      </x:patternFill>
    </x:fill>
    <x:fill>
      <x:patternFill patternType="solid">
        <x:fgColor rgb="FF4D6473"/>
      </x:patternFill>
    </x:fill>
    <x:fill>
      <x:patternFill patternType="solid">
        <x:fgColor rgb="FFFFF3C4"/>
      </x:patternFill>
    </x:fill>
    <x:fill>
      <x:patternFill patternType="solid">
        <x:fgColor rgb="FFEAF4E3"/>
      </x:patternFill>
    </x:fill>
    <x:fill>
      <x:patternFill patternType="solid">
        <x:fgColor rgb="FFE6D9EF"/>
      </x:patternFill>
    </x:fill>
    <x:fill>
      <x:patternFill patternType="solid">
        <x:fgColor rgb="FFF6D5D5"/>
      </x:patternFill>
    </x:fill>
    <x:fill>
      <x:patternFill patternType="solid">
        <x:fgColor rgb="FFFFF7D6"/>
      </x:patternFill>
    </x:fill>
    <x:fill>
      <x:patternFill patternType="solid">
        <x:fgColor rgb="FFEEE5F6"/>
      </x:patternFill>
    </x:fill>
  </x:fills>
  <x:borders count="2">
    <x:border/>
    <x:border/>
  </x:borders>
  <x:cellStyleXfs count="1">
    <x:xf numFmtId="0" fontId="0" fillId="0" borderId="0"/>
  </x:cellStyleXfs>
  <x:cellXfs count="1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0" fillId="10" borderId="0" xfId="0" applyNumberFormat="1" applyFont="1" applyFill="1" applyBorder="1"/>
    <x:xf numFmtId="0" fontId="0" fillId="1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/>
    </x:xf>
    <x:xf numFmtId="0" fontId="0" fillId="7" borderId="1" xfId="0" applyNumberFormat="1" applyFont="1" applyFill="1" applyBorder="1" applyAlignment="1">
      <x:alignment vertical="top"/>
    </x:xf>
    <x:xf numFmtId="0" fontId="0" fillId="11" borderId="0" xfId="0" applyNumberFormat="1" applyFont="1" applyFill="1" applyBorder="1" applyAlignment="1">
      <x:alignment vertical="top" wrapText="1"/>
    </x:xf>
    <x:xf numFmtId="0" fontId="0" fillId="11" borderId="1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 applyAlignment="1">
      <x:alignment vertical="top" wrapText="1"/>
    </x:xf>
    <x:xf numFmtId="0" fontId="0" fillId="12" borderId="1" xfId="0" applyNumberFormat="1" applyFont="1" applyFill="1" applyBorder="1" applyAlignment="1">
      <x:alignment vertical="top" wrapText="1"/>
    </x:xf>
    <x:xf numFmtId="0" fontId="2" fillId="12" borderId="0" xfId="0" applyNumberFormat="1" applyFont="1" applyFill="1" applyBorder="1" applyAlignment="1">
      <x:alignment vertical="top" wrapText="1"/>
    </x:xf>
    <x:xf numFmtId="0" fontId="2" fillId="12" borderId="1" xfId="0" applyNumberFormat="1" applyFont="1" applyFill="1" applyBorder="1" applyAlignment="1">
      <x:alignment vertical="top" wrapText="1"/>
    </x:xf>
    <x:xf numFmtId="0" fontId="0" fillId="13" borderId="0" xfId="0" applyNumberFormat="1" applyFont="1" applyFill="1" applyBorder="1" applyAlignment="1">
      <x:alignment vertical="top" wrapText="1"/>
    </x:xf>
    <x:xf numFmtId="0" fontId="0" fillId="13" borderId="1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 applyAlignment="1">
      <x:alignment vertical="top" wrapText="1"/>
    </x:xf>
    <x:xf numFmtId="0" fontId="0" fillId="14" borderId="1" xfId="0" applyNumberFormat="1" applyFont="1" applyFill="1" applyBorder="1" applyAlignment="1">
      <x:alignment vertical="top" wrapText="1"/>
    </x:xf>
    <x:xf numFmtId="0" fontId="0" fillId="15" borderId="0" xfId="0" applyNumberFormat="1" applyFont="1" applyFill="1" applyBorder="1" applyAlignment="1">
      <x:alignment vertical="top" wrapText="1"/>
    </x:xf>
    <x:xf numFmtId="0" fontId="0" fillId="1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/>
    </x:xf>
    <x:xf numFmtId="0" fontId="0" fillId="5" borderId="1" xfId="0" applyNumberFormat="1" applyFont="1" applyFill="1" applyBorder="1" applyAlignment="1">
      <x:alignment vertical="top"/>
    </x:xf>
    <x:xf numFmtId="0" fontId="0" fillId="8" borderId="0" xfId="0" applyNumberFormat="1" applyFont="1" applyFill="1" applyBorder="1" applyAlignment="1">
      <x:alignment vertical="top"/>
    </x:xf>
    <x:xf numFmtId="0" fontId="0" fillId="8" borderId="1" xfId="0" applyNumberFormat="1" applyFont="1" applyFill="1" applyBorder="1" applyAlignment="1">
      <x:alignment vertical="top"/>
    </x:xf>
    <x:xf numFmtId="0" fontId="0" fillId="9" borderId="0" xfId="0" applyNumberFormat="1" applyFont="1" applyFill="1" applyBorder="1" applyAlignment="1">
      <x:alignment vertical="top"/>
    </x:xf>
    <x:xf numFmtId="0" fontId="0" fillId="9" borderId="1" xfId="0" applyNumberFormat="1" applyFont="1" applyFill="1" applyBorder="1" applyAlignment="1">
      <x:alignment vertical="top"/>
    </x:xf>
    <x:xf numFmtId="0" fontId="0" fillId="10" borderId="0" xfId="0" applyNumberFormat="1" applyFont="1" applyFill="1" applyBorder="1" applyAlignment="1">
      <x:alignment vertical="top"/>
    </x:xf>
    <x:xf numFmtId="0" fontId="0" fillId="10" borderId="1" xfId="0" applyNumberFormat="1" applyFont="1" applyFill="1" applyBorder="1" applyAlignment="1">
      <x:alignment vertical="top"/>
    </x:xf>
    <x:xf numFmtId="0" fontId="0" fillId="6" borderId="0" xfId="0" applyNumberFormat="1" applyFont="1" applyFill="1" applyBorder="1" applyAlignment="1">
      <x:alignment vertical="top"/>
    </x:xf>
    <x:xf numFmtId="0" fontId="0" fillId="6" borderId="1" xfId="0" applyNumberFormat="1" applyFont="1" applyFill="1" applyBorder="1" applyAlignment="1">
      <x:alignment vertical="top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0" xfId="0" applyNumberFormat="1" applyFont="1" applyFill="1" applyBorder="1" applyAlignment="1">
      <x:alignment wrapText="1"/>
    </x:xf>
    <x:xf numFmtId="0" fontId="0" fillId="16" borderId="1" xfId="0" applyNumberFormat="1" applyFont="1" applyFill="1" applyBorder="1"/>
    <x:xf numFmtId="0" fontId="3" fillId="16" borderId="1" xfId="0" applyNumberFormat="1" applyFont="1" applyFill="1" applyBorder="1"/>
    <x:xf numFmtId="0" fontId="3" fillId="16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0" fontId="0" fillId="11" borderId="1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 applyAlignment="1">
      <x:alignment wrapText="1"/>
    </x:xf>
    <x:xf numFmtId="0" fontId="0" fillId="13" borderId="1" xfId="0" applyNumberFormat="1" applyFont="1" applyFill="1" applyBorder="1" applyAlignment="1">
      <x:alignment wrapText="1"/>
    </x:xf>
    <x:xf numFmtId="0" fontId="0" fillId="14" borderId="0" xfId="0" applyNumberFormat="1" applyFont="1" applyFill="1" applyBorder="1" applyAlignment="1">
      <x:alignment wrapText="1"/>
    </x:xf>
    <x:xf numFmtId="0" fontId="0" fillId="14" borderId="1" xfId="0" applyNumberFormat="1" applyFont="1" applyFill="1" applyBorder="1" applyAlignment="1">
      <x:alignment wrapText="1"/>
    </x:xf>
    <x:xf numFmtId="0" fontId="0" fillId="15" borderId="0" xfId="0" applyNumberFormat="1" applyFont="1" applyFill="1" applyBorder="1" applyAlignment="1">
      <x:alignment wrapText="1"/>
    </x:xf>
    <x:xf numFmtId="0" fontId="0" fillId="15" borderId="1" xfId="0" applyNumberFormat="1" applyFont="1" applyFill="1" applyBorder="1" applyAlignment="1">
      <x:alignment wrapText="1"/>
    </x:xf>
    <x:xf numFmtId="0" fontId="0" fillId="17" borderId="0" xfId="0" applyNumberFormat="1" applyFont="1" applyFill="1" applyBorder="1"/>
    <x:xf numFmtId="0" fontId="3" fillId="17" borderId="0" xfId="0" applyNumberFormat="1" applyFont="1" applyFill="1" applyBorder="1"/>
    <x:xf numFmtId="0" fontId="0" fillId="17" borderId="1" xfId="0" applyNumberFormat="1" applyFont="1" applyFill="1" applyBorder="1"/>
    <x:xf numFmtId="0" fontId="3" fillId="17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18" borderId="0" xfId="0" applyNumberFormat="1" applyFont="1" applyFill="1" applyBorder="1"/>
    <x:xf numFmtId="0" fontId="3" fillId="18" borderId="0" xfId="0" applyNumberFormat="1" applyFont="1" applyFill="1" applyBorder="1"/>
    <x:xf numFmtId="0" fontId="0" fillId="18" borderId="1" xfId="0" applyNumberFormat="1" applyFont="1" applyFill="1" applyBorder="1"/>
    <x:xf numFmtId="0" fontId="3" fillId="18" borderId="1" xfId="0" applyNumberFormat="1" applyFont="1" applyFill="1" applyBorder="1"/>
    <x:xf numFmtId="0" fontId="0" fillId="19" borderId="0" xfId="0" applyNumberFormat="1" applyFont="1" applyFill="1" applyBorder="1"/>
    <x:xf numFmtId="0" fontId="3" fillId="19" borderId="0" xfId="0" applyNumberFormat="1" applyFont="1" applyFill="1" applyBorder="1"/>
    <x:xf numFmtId="0" fontId="0" fillId="19" borderId="1" xfId="0" applyNumberFormat="1" applyFont="1" applyFill="1" applyBorder="1"/>
    <x:xf numFmtId="0" fontId="3" fillId="19" borderId="1" xfId="0" applyNumberFormat="1" applyFont="1" applyFill="1" applyBorder="1"/>
    <x:xf numFmtId="0" fontId="0" fillId="20" borderId="0" xfId="0" applyNumberFormat="1" applyFont="1" applyFill="1" applyBorder="1"/>
    <x:xf numFmtId="0" fontId="3" fillId="20" borderId="0" xfId="0" applyNumberFormat="1" applyFont="1" applyFill="1" applyBorder="1"/>
    <x:xf numFmtId="0" fontId="0" fillId="20" borderId="1" xfId="0" applyNumberFormat="1" applyFont="1" applyFill="1" applyBorder="1"/>
    <x:xf numFmtId="0" fontId="3" fillId="20" borderId="1" xfId="0" applyNumberFormat="1" applyFont="1" applyFill="1" applyBorder="1"/>
    <x:xf numFmtId="0" fontId="0" fillId="21" borderId="0" xfId="0" applyNumberFormat="1" applyFont="1" applyFill="1" applyBorder="1"/>
    <x:xf numFmtId="0" fontId="3" fillId="21" borderId="0" xfId="0" applyNumberFormat="1" applyFont="1" applyFill="1" applyBorder="1"/>
    <x:xf numFmtId="0" fontId="0" fillId="21" borderId="1" xfId="0" applyNumberFormat="1" applyFont="1" applyFill="1" applyBorder="1"/>
    <x:xf numFmtId="0" fontId="3" fillId="21" borderId="1" xfId="0" applyNumberFormat="1" applyFont="1" applyFill="1" applyBorder="1"/>
    <x:xf numFmtId="0" fontId="0" fillId="0" borderId="0" xfId="0" applyNumberFormat="1" applyFont="1" applyFill="1" applyBorder="1"/>
    <x:xf numFmtId="0" fontId="0" fillId="22" borderId="0" xfId="0" applyNumberFormat="1" applyFont="1" applyFill="1" applyBorder="1"/>
    <x:xf numFmtId="0" fontId="2" fillId="22" borderId="0" xfId="0" applyNumberFormat="1" applyFont="1" applyFill="1" applyBorder="1"/>
    <x:xf numFmtId="0" fontId="0" fillId="23" borderId="0" xfId="0" applyNumberFormat="1" applyFont="1" applyFill="1" applyBorder="1"/>
    <x:xf numFmtId="0" fontId="3" fillId="23" borderId="0" xfId="0" applyNumberFormat="1" applyFont="1" applyFill="1" applyBorder="1"/>
    <x:xf numFmtId="0" fontId="3" fillId="23" borderId="0" xfId="0" applyNumberFormat="1" applyFont="1" applyFill="1" applyBorder="1" applyAlignment="1">
      <x:alignment wrapText="1"/>
    </x:xf>
    <x:xf numFmtId="0" fontId="3" fillId="23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/>
    <x:xf numFmtId="0" fontId="0" fillId="24" borderId="0" xfId="0" applyNumberFormat="1" applyFont="1" applyFill="1" applyBorder="1"/>
    <x:xf numFmtId="0" fontId="3" fillId="24" borderId="0" xfId="0" applyNumberFormat="1" applyFont="1" applyFill="1" applyBorder="1"/>
    <x:xf numFmtId="0" fontId="3" fillId="24" borderId="0" xfId="0" applyNumberFormat="1" applyFont="1" applyFill="1" applyBorder="1" applyAlignment="1">
      <x:alignment wrapText="1"/>
    </x:xf>
    <x:xf numFmtId="0" fontId="0" fillId="25" borderId="0" xfId="0" applyNumberFormat="1" applyFont="1" applyFill="1" applyBorder="1"/>
    <x:xf numFmtId="0" fontId="5" fillId="25" borderId="0" xfId="0" applyNumberFormat="1" applyFont="1" applyFill="1" applyBorder="1"/>
    <x:xf numFmtId="0" fontId="5" fillId="25" borderId="0" xfId="0" applyNumberFormat="1" applyFont="1" applyFill="1" applyBorder="1" applyAlignment="1">
      <x:alignment horizontal="center"/>
    </x:xf>
    <x:xf numFmtId="0" fontId="5" fillId="25" borderId="0" xfId="0" applyNumberFormat="1" applyFont="1" applyFill="1" applyBorder="1" applyAlignment="1">
      <x:alignment horizontal="center" vertical="center"/>
    </x:xf>
    <x:xf numFmtId="0" fontId="0" fillId="26" borderId="0" xfId="0" applyNumberFormat="1" applyFont="1" applyFill="1" applyBorder="1" applyAlignment="1">
      <x:alignment wrapText="1"/>
    </x:xf>
    <x:xf numFmtId="0" fontId="2" fillId="26" borderId="0" xfId="0" applyNumberFormat="1" applyFont="1" applyFill="1" applyBorder="1" applyAlignment="1">
      <x:alignment wrapText="1"/>
    </x:xf>
    <x:xf numFmtId="0" fontId="0" fillId="27" borderId="0" xfId="0" applyNumberFormat="1" applyFont="1" applyFill="1" applyBorder="1"/>
    <x:xf numFmtId="0" fontId="3" fillId="27" borderId="0" xfId="0" applyNumberFormat="1" applyFont="1" applyFill="1" applyBorder="1"/>
    <x:xf numFmtId="0" fontId="3" fillId="27" borderId="0" xfId="0" applyNumberFormat="1" applyFont="1" applyFill="1" applyBorder="1" applyAlignment="1">
      <x:alignment wrapText="1"/>
    </x:xf>
    <x:xf numFmtId="0" fontId="3" fillId="27" borderId="0" xfId="0" applyNumberFormat="1" applyFont="1" applyFill="1" applyBorder="1" applyAlignment="1">
      <x:alignment horizontal="center" wrapText="1"/>
    </x:xf>
    <x:xf numFmtId="0" fontId="3" fillId="27" borderId="0" xfId="0" applyNumberFormat="1" applyFont="1" applyFill="1" applyBorder="1" applyAlignment="1">
      <x:alignment horizontal="center" vertical="center" wrapText="1"/>
    </x:xf>
    <x:xf numFmtId="0" fontId="0" fillId="28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0" fillId="29" borderId="0" xfId="0" applyNumberFormat="1" applyFont="1" applyFill="1" applyBorder="1" applyAlignment="1">
      <x:alignment vertical="top"/>
    </x:xf>
    <x:xf numFmtId="0" fontId="0" fillId="30" borderId="0" xfId="0" applyNumberFormat="1" applyFont="1" applyFill="1" applyBorder="1" applyAlignment="1">
      <x:alignment vertical="top"/>
    </x:xf>
    <x:xf numFmtId="0" fontId="0" fillId="31" borderId="0" xfId="0" applyNumberFormat="1" applyFont="1" applyFill="1" applyBorder="1" applyAlignment="1">
      <x:alignment vertical="top"/>
    </x:xf>
    <x:xf numFmtId="0" fontId="0" fillId="32" borderId="0" xfId="0" applyNumberFormat="1" applyFont="1" applyFill="1" applyBorder="1" applyAlignment="1">
      <x:alignment vertical="top"/>
    </x:xf>
    <x:xf numFmtId="0" fontId="0" fillId="33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aeba3ab2045eb" /><Relationship Type="http://schemas.openxmlformats.org/officeDocument/2006/relationships/theme" Target="/xl/theme/theme1.xml" Id="R000119a6e27e46bd" /><Relationship Type="http://schemas.openxmlformats.org/officeDocument/2006/relationships/sharedStrings" Target="/xl/sharedStrings.xml" Id="Rc291c46540fc4598" /><Relationship Type="http://schemas.openxmlformats.org/officeDocument/2006/relationships/worksheet" Target="/xl/worksheets/sheet1.xml" Id="R81d08e9c24964b1a" /><Relationship Type="http://schemas.openxmlformats.org/officeDocument/2006/relationships/worksheet" Target="/xl/worksheets/sheet2.xml" Id="R317cef376a2a4d8d" /><Relationship Type="http://schemas.openxmlformats.org/officeDocument/2006/relationships/worksheet" Target="/xl/worksheets/sheet3.xml" Id="R49de1c9e72284793" /><Relationship Type="http://schemas.openxmlformats.org/officeDocument/2006/relationships/worksheet" Target="/xl/worksheets/sheet4.xml" Id="R70eda14b45e6402c" /><Relationship Type="http://schemas.openxmlformats.org/officeDocument/2006/relationships/worksheet" Target="/xl/worksheets/sheet5.xml" Id="Rb1493e21b6cc4156" /><Relationship Type="http://schemas.openxmlformats.org/officeDocument/2006/relationships/worksheet" Target="/xl/worksheets/sheet6.xml" Id="R0599c15b583b403b" /><Relationship Type="http://schemas.openxmlformats.org/officeDocument/2006/relationships/worksheet" Target="/xl/worksheets/sheet7.xml" Id="Rc4d2a70acd76465d" /><Relationship Type="http://schemas.openxmlformats.org/officeDocument/2006/relationships/worksheet" Target="/xl/worksheets/sheet8.xml" Id="Re9f27526b29f4361" /><Relationship Type="http://schemas.openxmlformats.org/officeDocument/2006/relationships/worksheet" Target="/xl/worksheets/sheet9.xml" Id="R6f9a43395cbe455f" /></Relationships>
</file>

<file path=xl/tables/table1.xml><?xml version="1.0" encoding="utf-8"?>
<x:table xmlns:x="http://schemas.openxmlformats.org/spreadsheetml/2006/main" id="1" name="DailyCalendar2026" displayName="DailyCalendar2026" ref="A1:N366" headerRowCount="1" totalsRowCount="0" totalsRowShown="0">
  <x:tableColumns count="14">
    <x:tableColumn id="1" name="Date"/>
    <x:tableColumn id="2" name="Day"/>
    <x:tableColumn id="3" name="Liturgical Season"/>
    <x:tableColumn id="4" name="Primary Liturgy"/>
    <x:tableColumn id="5" name="Rank"/>
    <x:tableColumn id="6" name="Saint / Marian / Other Observances"/>
    <x:tableColumn id="7" name="Tags"/>
    <x:tableColumn id="8" name="Mass Obligation"/>
    <x:tableColumn id="9" name="Devotions / Novenas"/>
    <x:tableColumn id="10" name="Penance / Practice"/>
    <x:tableColumn id="11" name="Traditional / Historical"/>
    <x:tableColumn id="12" name="Popular / Extra"/>
    <x:tableColumn id="13" name="Notes"/>
    <x:tableColumn id="14" name="Source URL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KeyDates2026" displayName="KeyDates2026" ref="A1:N322" headerRowCount="1" totalsRowCount="0" totalsRowShown="0">
  <x:tableColumns count="14">
    <x:tableColumn id="1" name="Date"/>
    <x:tableColumn id="2" name="Day"/>
    <x:tableColumn id="3" name="Liturgical Season"/>
    <x:tableColumn id="4" name="Primary Liturgy"/>
    <x:tableColumn id="5" name="Rank"/>
    <x:tableColumn id="6" name="Saint / Marian / Other Observances"/>
    <x:tableColumn id="7" name="Tags"/>
    <x:tableColumn id="8" name="Mass Obligation"/>
    <x:tableColumn id="9" name="Devotions / Novenas"/>
    <x:tableColumn id="10" name="Penance / Practice"/>
    <x:tableColumn id="11" name="Traditional / Historical"/>
    <x:tableColumn id="12" name="Popular / Extra"/>
    <x:tableColumn id="13" name="Notes"/>
    <x:tableColumn id="14" name="Source URL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votions2026" displayName="Devotions2026" ref="A1:G14" headerRowCount="1" totalsRowCount="0" totalsRowShown="0">
  <x:tableColumns count="7">
    <x:tableColumn id="1" name="Devotion"/>
    <x:tableColumn id="2" name="Start"/>
    <x:tableColumn id="3" name="End"/>
    <x:tableColumn id="4" name="Length / Pattern"/>
    <x:tableColumn id="5" name="Classification"/>
    <x:tableColumn id="6" name="Notes"/>
    <x:tableColumn id="7" name="Source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NovenaPlanner2026" displayName="NovenaPlanner2026" ref="A1:F16" headerRowCount="1" totalsRowCount="0" totalsRowShown="0">
  <x:tableColumns count="6">
    <x:tableColumn id="1" name="Feast Date"/>
    <x:tableColumn id="2" name="Feast / Saint"/>
    <x:tableColumn id="3" name="Type"/>
    <x:tableColumn id="4" name="Suggested Start"/>
    <x:tableColumn id="5" name="Suggested End"/>
    <x:tableColumn id="6" name="Important not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raditional2026" displayName="Traditional2026" ref="A1:F10" headerRowCount="1" totalsRowCount="0" totalsRowShown="0">
  <x:tableColumns count="6">
    <x:tableColumn id="1" name="Observance"/>
    <x:tableColumn id="2" name="Start"/>
    <x:tableColumn id="3" name="End"/>
    <x:tableColumn id="4" name="Classification"/>
    <x:tableColumn id="5" name="What it is"/>
    <x:tableColumn id="6" name="Source 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MassObligations2026" displayName="MassObligations2026" ref="A1:E7" headerRowCount="1" totalsRowCount="0" totalsRowShown="0">
  <x:tableColumns count="5">
    <x:tableColumn id="1" name="Date"/>
    <x:tableColumn id="2" name="Celebration"/>
    <x:tableColumn id="3" name="Status"/>
    <x:tableColumn id="4" name="Reason / Note"/>
    <x:tableColumn id="5" name="Source UR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ources2026" displayName="Sources2026" ref="A1:D22" headerRowCount="1" totalsRowCount="0" totalsRowShown="0">
  <x:tableColumns count="4">
    <x:tableColumn id="1" name="Source"/>
    <x:tableColumn id="2" name="Authority / Type"/>
    <x:tableColumn id="3" name="Used For"/>
    <x:tableColumn id="4" name="URL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LiturgyHours2026" displayName="LiturgyHours2026" ref="A8:M373" headerRowCount="1" totalsRowCount="0" totalsRowShown="0">
  <x:tableColumns count="13">
    <x:tableColumn id="1" name="Date"/>
    <x:tableColumn id="2" name="Day"/>
    <x:tableColumn id="3" name="Season"/>
    <x:tableColumn id="4" name="Celebration"/>
    <x:tableColumn id="5" name="Rank"/>
    <x:tableColumn id="6" name="LOTH Volume"/>
    <x:tableColumn id="7" name="Psalter / Proper"/>
    <x:tableColumn id="8" name="Office of Readings"/>
    <x:tableColumn id="9" name="Morning Prayer"/>
    <x:tableColumn id="10" name="Daytime Prayer"/>
    <x:tableColumn id="11" name="Evening Prayer"/>
    <x:tableColumn id="12" name="Night Prayer"/>
    <x:tableColumn id="13" name="Navigation Note / Sour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43d5052c8946d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72b5f17a87c4f3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7a2e4c33fee4bc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aa462fbaeee425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37be35bfdf44a9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5968b132af5448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b5f4cf0eb64847e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909106da262d481b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4" max="4" width="20" hidden="0" customWidth="1"/>
    <x:col min="5" max="5" width="48" hidden="0" customWidth="1"/>
  </x:cols>
  <x:sheetData>
    <x:row r="1">
      <x:c r="A1" s="5" t="str">
        <x:v>The Living Rosary Archives Catholic Devotional Calendar — 2026</x:v>
      </x:c>
      <x:c r="B1" s="5"/>
      <x:c r="C1" s="5"/>
      <x:c r="D1" s="5"/>
      <x:c r="E1" s="5"/>
      <x:c r="F1" s="5"/>
    </x:row>
    <x:row r="3">
      <x:c r="A3" s="11" t="str">
        <x:v>Edition</x:v>
      </x:c>
      <x:c r="B3" s="14" t="str">
        <x:v>Public Edition 1.1 — expanded with Mass-reading links and a Liturgy of the Hours navigator</x:v>
      </x:c>
      <x:c r="D3" s="17" t="str">
        <x:v>Symbol</x:v>
      </x:c>
      <x:c r="E3" s="17" t="str">
        <x:v>Meaning</x:v>
      </x:c>
    </x:row>
    <x:row r="4">
      <x:c r="A4" s="11" t="str">
        <x:v>Scope</x:v>
      </x:c>
      <x:c r="B4" s="14" t="str">
        <x:v>U.S. Latin Catholic calendar. Official liturgy is kept distinct from popular/private and historical devotional layers.</x:v>
      </x:c>
      <x:c r="D4" t="str">
        <x:v>⛪</x:v>
      </x:c>
      <x:c r="E4" t="str">
        <x:v>Sunday / Holy Day Mass obligation</x:v>
      </x:c>
    </x:row>
    <x:row r="5">
      <x:c r="A5" s="11" t="str">
        <x:v>Calendar basis</x:v>
      </x:c>
      <x:c r="B5" s="14" t="str">
        <x:v>USCCB Liturgical Calendar for the Dioceses of the United States of America — 2026.</x:v>
      </x:c>
      <x:c r="D5" t="str">
        <x:v>★</x:v>
      </x:c>
      <x:c r="E5" t="str">
        <x:v>Solemnity or Feast</x:v>
      </x:c>
    </x:row>
    <x:row r="6">
      <x:c r="A6" s="11" t="str">
        <x:v>Local variation</x:v>
      </x:c>
      <x:c r="B6" s="14" t="str">
        <x:v>Ascension timing varies by U.S. ecclesiastical province. This resource notes the Sunday transfer used in most U.S. provinces, including Dallas.</x:v>
      </x:c>
      <x:c r="D6" t="str">
        <x:v>🌹</x:v>
      </x:c>
      <x:c r="E6" t="str">
        <x:v>Marian celebration or devotion</x:v>
      </x:c>
    </x:row>
    <x:row r="7">
      <x:c r="A7" s="11" t="str">
        <x:v>Saints</x:v>
      </x:c>
      <x:c r="B7" s="14" t="str">
        <x:v>Includes U.S. General/Proper Roman-calendar celebrations plus selected widely popular devotional saints. It is not an exhaustive Roman Martyrology.</x:v>
      </x:c>
      <x:c r="D7" t="str">
        <x:v>✦</x:v>
      </x:c>
      <x:c r="E7" t="str">
        <x:v>Saint / Blessed observance</x:v>
      </x:c>
    </x:row>
    <x:row r="8">
      <x:c r="A8" s="11" t="str">
        <x:v>Stacking</x:v>
      </x:c>
      <x:c r="B8" s="14" t="str">
        <x:v>A date can carry several symbols simultaneously: liturgical season + feast + Marian day + novena + historical observance.</x:v>
      </x:c>
      <x:c r="D8" t="str">
        <x:v>✝</x:v>
      </x:c>
      <x:c r="E8" t="str">
        <x:v>Lord / Christological / Holy Week / Triduum</x:v>
      </x:c>
    </x:row>
    <x:row r="9">
      <x:c r="A9" s="11" t="str">
        <x:v>Devotional distinction</x:v>
      </x:c>
      <x:c r="B9" s="14" t="str">
        <x:v>Novenas, St. Michael's Lent, First Fridays/Saturdays, and historical observances are labeled separately from required liturgical observances.</x:v>
      </x:c>
      <x:c r="D9" t="str">
        <x:v>🙏</x:v>
      </x:c>
      <x:c r="E9" t="str">
        <x:v>Novena or multi-day devotion</x:v>
      </x:c>
    </x:row>
    <x:row r="10">
      <x:c r="A10" s="11" t="str">
        <x:v>Use</x:v>
      </x:c>
      <x:c r="B10" s="14" t="str">
        <x:v>Free for personal, devotional, educational, and parish-planning use. Please verify local diocesan observances.</x:v>
      </x:c>
      <x:c r="D10" t="str">
        <x:v>📿</x:v>
      </x:c>
      <x:c r="E10" t="str">
        <x:v>Rosary devotion</x:v>
      </x:c>
    </x:row>
    <x:row r="11">
      <x:c r="A11" s="11" t="str">
        <x:v>Attribution</x:v>
      </x:c>
      <x:c r="B11" s="14" t="str">
        <x:v>Prepared for The Living Rosary Archives. Source links are retained throughout the workbook.</x:v>
      </x:c>
      <x:c r="D11" t="str">
        <x:v>⚔</x:v>
      </x:c>
      <x:c r="E11" t="str">
        <x:v>St. Michael devotion</x:v>
      </x:c>
    </x:row>
    <x:row r="12">
      <x:c r="A12" s="11" t="str">
        <x:v>Updates</x:v>
      </x:c>
      <x:c r="B12" s="14" t="str">
        <x:v>If an official calendar is amended, consult the Sources tab and the latest version posted by The Living Rosary Archives.</x:v>
      </x:c>
      <x:c r="D12" t="str">
        <x:v>Ⓟ</x:v>
      </x:c>
      <x:c r="E12" t="str">
        <x:v>Penance / fasting / abstinence</x:v>
      </x:c>
    </x:row>
    <x:row r="13">
      <x:c r="D13" t="str">
        <x:v>🕯</x:v>
      </x:c>
      <x:c r="E13" t="str">
        <x:v>Traditional or historical observance</x:v>
      </x:c>
    </x:row>
    <x:row r="14">
      <x:c r="A14" s="110" t="str">
        <x:v>Mass readings</x:v>
      </x:c>
      <x:c r="B14" s="14" t="str">
        <x:v>The Daily Calendar includes a direct link to the official USCCB readings page for each date. The workbook does not reproduce the copyrighted reading text.</x:v>
      </x:c>
    </x:row>
    <x:row r="15">
      <x:c r="A15" s="110" t="str">
        <x:v>Liturgy of the Hours</x:v>
      </x:c>
      <x:c r="B15" s="14" t="str">
        <x:v>The navigator is page-number independent: it identifies the four-volume book, Psalter/Proper, and the section governing each Hour.</x:v>
      </x:c>
    </x:row>
    <x:row r="16">
      <x:c r="A16" s="110" t="str">
        <x:v>Prayer windows</x:v>
      </x:c>
      <x:c r="B16" s="14" t="str">
        <x:v>Office of Readings: any time; Morning Prayer: morning; Daytime Prayer: midmorning/midday/midafternoon; Evening Prayer: evening; Night Prayer: before bed.</x:v>
      </x:c>
      <x:c r="D16" s="17" t="str">
        <x:v>Season</x:v>
      </x:c>
      <x:c r="E16" s="17" t="str">
        <x:v>Cell color</x:v>
      </x:c>
    </x:row>
    <x:row r="17">
      <x:c r="A17" s="110" t="str">
        <x:v>Evening precedence</x:v>
      </x:c>
      <x:c r="B17" s="14" t="str">
        <x:v>Saturday evenings normally use First Vespers of Sunday; solemnities normally begin with First Vespers the preceding evening. If two high-ranking celebrations meet, consult the local ordo/rubrics.</x:v>
      </x:c>
      <x:c r="D17" t="str">
        <x:v>Ordinary Time</x:v>
      </x:c>
      <x:c r="E17" s="20" t="str">
        <x:v>Ordinary Time</x:v>
      </x:c>
    </x:row>
    <x:row r="18">
      <x:c r="D18" t="str">
        <x:v>Advent</x:v>
      </x:c>
      <x:c r="E18" s="22" t="str">
        <x:v>Advent</x:v>
      </x:c>
    </x:row>
    <x:row r="19">
      <x:c r="D19" t="str">
        <x:v>Christmas</x:v>
      </x:c>
      <x:c r="E19" s="24" t="str">
        <x:v>Christmas</x:v>
      </x:c>
    </x:row>
    <x:row r="20">
      <x:c r="D20" t="str">
        <x:v>Lent</x:v>
      </x:c>
      <x:c r="E20" s="26" t="str">
        <x:v>Lent</x:v>
      </x:c>
    </x:row>
    <x:row r="21">
      <x:c r="D21" t="str">
        <x:v>Sacred Triduum</x:v>
      </x:c>
      <x:c r="E21" s="28" t="str">
        <x:v>Sacred Triduum</x:v>
      </x:c>
    </x:row>
    <x:row r="22">
      <x:c r="D22" t="str">
        <x:v>Easter</x:v>
      </x:c>
      <x:c r="E22" s="30" t="str">
        <x:v>Easter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6" hidden="0" customWidth="1"/>
    <x:col min="4" max="4" width="36" hidden="0" customWidth="1"/>
    <x:col min="5" max="5" width="16" hidden="0" customWidth="1"/>
    <x:col min="6" max="6" width="48" hidden="0" customWidth="1"/>
    <x:col min="7" max="7" width="14" hidden="0" customWidth="1"/>
    <x:col min="8" max="8" width="36" hidden="0" customWidth="1"/>
    <x:col min="9" max="9" width="54" hidden="0" customWidth="1"/>
    <x:col min="10" max="10" width="44" hidden="0" customWidth="1"/>
    <x:col min="11" max="11" width="50" hidden="0" customWidth="1"/>
    <x:col min="12" max="12" width="34" hidden="0" customWidth="1"/>
    <x:col min="13" max="13" width="58" hidden="0" customWidth="1"/>
    <x:col min="14" max="14" width="58" hidden="0" customWidth="1"/>
    <x:col min="15" max="15" width="31" hidden="0" customWidth="1"/>
  </x:cols>
  <x:sheetData>
    <x:row r="1">
      <x:c r="A1" s="34" t="str">
        <x:v>Date</x:v>
      </x:c>
      <x:c r="B1" s="34" t="str">
        <x:v>Day</x:v>
      </x:c>
      <x:c r="C1" s="34" t="str">
        <x:v>Liturgical Season</x:v>
      </x:c>
      <x:c r="D1" s="34" t="str">
        <x:v>Primary Liturgy</x:v>
      </x:c>
      <x:c r="E1" s="34" t="str">
        <x:v>Rank</x:v>
      </x:c>
      <x:c r="F1" s="34" t="str">
        <x:v>Saint / Marian / Other Observances</x:v>
      </x:c>
      <x:c r="G1" s="34" t="str">
        <x:v>Tags</x:v>
      </x:c>
      <x:c r="H1" s="34" t="str">
        <x:v>Mass Obligation</x:v>
      </x:c>
      <x:c r="I1" s="34" t="str">
        <x:v>Devotions / Novenas</x:v>
      </x:c>
      <x:c r="J1" s="34" t="str">
        <x:v>Penance / Practice</x:v>
      </x:c>
      <x:c r="K1" s="34" t="str">
        <x:v>Traditional / Historical</x:v>
      </x:c>
      <x:c r="L1" s="34" t="str">
        <x:v>Popular / Extra</x:v>
      </x:c>
      <x:c r="M1" s="34" t="str">
        <x:v>Notes</x:v>
      </x:c>
      <x:c r="N1" s="34" t="str">
        <x:v>Source URLs</x:v>
      </x:c>
      <x:c r="O1" s="114" t="str">
        <x:v>Mass Readings (USCCB)</x:v>
      </x:c>
    </x:row>
    <x:row r="2">
      <x:c r="A2" s="40" t="n">
        <x:v>46023</x:v>
      </x:c>
      <x:c r="B2" s="41" t="str">
        <x:v>Thursday</x:v>
      </x:c>
      <x:c r="C2" s="46" t="str">
        <x:v>Christmas</x:v>
      </x:c>
      <x:c r="D2" s="41" t="str">
        <x:v>Mary, the Holy Mother of God</x:v>
      </x:c>
      <x:c r="E2" s="41" t="str">
        <x:v>Solemnity</x:v>
      </x:c>
      <x:c r="F2" s="48" t="str">
        <x:v>Mary, the Holy Mother of God [Solemnity]</x:v>
      </x:c>
      <x:c r="G2" s="42" t="str">
        <x:v>★ 🌹 ⛪</x:v>
      </x:c>
      <x:c r="H2" s="52" t="str">
        <x:v>⛪ Holy Day of Obligation — Mary, Mother of God</x:v>
      </x:c>
      <x:c r="I2" s="42" t="str"/>
      <x:c r="J2" s="42" t="str"/>
      <x:c r="K2" s="42" t="str"/>
      <x:c r="L2" s="42" t="str"/>
      <x:c r="M2" s="42" t="str"/>
      <x:c r="N2" s="42" t="str">
        <x:v>https://www.usccb.org/resources/2026cal.pdf
https://www.usccb.org/beliefs-and-teachings/what-we-believe/canon-law/complementary-norms/canon-1246</x:v>
      </x:c>
      <x:c r="O2" s="115" t="e">
        <x:f>HYPERLINK("https://bible.usccb.org/bible/readings/010126.cfm","Open official USCCB readings ↗")</x:f>
        <x:v>HYPERLINK is not implemented. linkLocation=https://bible.usccb.org/bible/readings/010126.cfm, friendlyName=Open official USCCB readings ↗</x:v>
      </x:c>
    </x:row>
    <x:row r="3">
      <x:c r="A3" s="40" t="n">
        <x:v>46024</x:v>
      </x:c>
      <x:c r="B3" s="41" t="str">
        <x:v>Friday</x:v>
      </x:c>
      <x:c r="C3" s="46" t="str">
        <x:v>Christmas</x:v>
      </x:c>
      <x:c r="D3" s="41" t="str">
        <x:v>Saints Basil the Great and Gregory Nazianzen</x:v>
      </x:c>
      <x:c r="E3" s="41" t="str">
        <x:v>Memorial</x:v>
      </x:c>
      <x:c r="F3" s="42" t="str">
        <x:v>Saints Basil the Great and Gregory Nazianzen [Memorial]</x:v>
      </x:c>
      <x:c r="G3" s="42" t="str">
        <x:v>✦ 🙏 Ⓟ</x:v>
      </x:c>
      <x:c r="H3" s="42" t="str"/>
      <x:c r="I3" s="54" t="str">
        <x:v>❤ First Friday — Sacred Heart devotion</x:v>
      </x:c>
      <x:c r="J3" s="56" t="str">
        <x:v>Friday penance — outside Lent, U.S. Catholics may choose an appropriate penitential practice</x:v>
      </x:c>
      <x:c r="K3" s="42" t="str"/>
      <x:c r="L3" s="42" t="str"/>
      <x:c r="M3" s="42" t="str"/>
      <x:c r="N3" s="42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3" s="115" t="e">
        <x:f>HYPERLINK("https://bible.usccb.org/bible/readings/010226.cfm","Open official USCCB readings ↗")</x:f>
        <x:v>HYPERLINK is not implemented. linkLocation=https://bible.usccb.org/bible/readings/010226.cfm, friendlyName=Open official USCCB readings ↗</x:v>
      </x:c>
    </x:row>
    <x:row r="4">
      <x:c r="A4" s="40" t="n">
        <x:v>46025</x:v>
      </x:c>
      <x:c r="B4" s="41" t="str">
        <x:v>Saturday</x:v>
      </x:c>
      <x:c r="C4" s="46" t="str">
        <x:v>Christmas</x:v>
      </x:c>
      <x:c r="D4" s="41" t="str">
        <x:v>Christmas Weekday</x:v>
      </x:c>
      <x:c r="E4" s="41" t="str">
        <x:v>Weekday</x:v>
      </x:c>
      <x:c r="F4" s="48" t="str">
        <x:v>Most Holy Name of Jesus [Optional Memorial]</x:v>
      </x:c>
      <x:c r="G4" s="42" t="str">
        <x:v>✝ 🙏 🌹</x:v>
      </x:c>
      <x:c r="H4" s="42" t="str"/>
      <x:c r="I4" s="54" t="str">
        <x:v>🌹 First Saturday — Immaculate Heart devotion</x:v>
      </x:c>
      <x:c r="J4" s="42" t="str"/>
      <x:c r="K4" s="42" t="str"/>
      <x:c r="L4" s="42" t="str"/>
      <x:c r="M4" s="42" t="str"/>
      <x:c r="N4" s="42" t="str">
        <x:v>https://www.usccb.org/resources/2026cal.pdf
https://www.ewtn.com/catholicism/library/revelation-of-the-immaculate-heart-at-fatima-in-1917-5465</x:v>
      </x:c>
      <x:c r="O4" s="115" t="e">
        <x:f>HYPERLINK("https://bible.usccb.org/bible/readings/010326.cfm","Open official USCCB readings ↗")</x:f>
        <x:v>HYPERLINK is not implemented. linkLocation=https://bible.usccb.org/bible/readings/010326.cfm, friendlyName=Open official USCCB readings ↗</x:v>
      </x:c>
    </x:row>
    <x:row r="5">
      <x:c r="A5" s="40" t="n">
        <x:v>46026</x:v>
      </x:c>
      <x:c r="B5" s="41" t="str">
        <x:v>Sunday</x:v>
      </x:c>
      <x:c r="C5" s="46" t="str">
        <x:v>Christmas</x:v>
      </x:c>
      <x:c r="D5" s="41" t="str">
        <x:v>Epiphany of the Lord</x:v>
      </x:c>
      <x:c r="E5" s="41" t="str">
        <x:v>Solemnity</x:v>
      </x:c>
      <x:c r="F5" s="42" t="str">
        <x:v>Saint Elizabeth Ann Seton [Memorial]</x:v>
      </x:c>
      <x:c r="G5" s="42" t="str">
        <x:v>★ ✝ ✦ ⛪</x:v>
      </x:c>
      <x:c r="H5" s="52" t="str">
        <x:v>⛪ Sunday Mass obligation</x:v>
      </x:c>
      <x:c r="I5" s="42" t="str"/>
      <x:c r="J5" s="42" t="str"/>
      <x:c r="K5" s="42" t="str"/>
      <x:c r="L5" s="42" t="str"/>
      <x:c r="M5" s="42" t="str">
        <x:v>A fixed observance also falls today, but the Sunday or higher-ranking celebration takes liturgical precedence.</x:v>
      </x:c>
      <x:c r="N5" s="42" t="str">
        <x:v>https://www.usccb.org/resources/2026cal.pdf
https://www.usccb.org/beliefs-and-teachings/what-we-believe/canon-law/complementary-norms/canon-1246</x:v>
      </x:c>
      <x:c r="O5" s="115" t="e">
        <x:f>HYPERLINK("https://bible.usccb.org/bible/readings/010426.cfm","Open official USCCB readings ↗")</x:f>
        <x:v>HYPERLINK is not implemented. linkLocation=https://bible.usccb.org/bible/readings/010426.cfm, friendlyName=Open official USCCB readings ↗</x:v>
      </x:c>
    </x:row>
    <x:row r="6">
      <x:c r="A6" s="40" t="n">
        <x:v>46027</x:v>
      </x:c>
      <x:c r="B6" s="41" t="str">
        <x:v>Monday</x:v>
      </x:c>
      <x:c r="C6" s="46" t="str">
        <x:v>Christmas</x:v>
      </x:c>
      <x:c r="D6" s="41" t="str">
        <x:v>Saint John Neumann</x:v>
      </x:c>
      <x:c r="E6" s="41" t="str">
        <x:v>Memorial</x:v>
      </x:c>
      <x:c r="F6" s="42" t="str">
        <x:v>Saint John Neumann [Memorial]</x:v>
      </x:c>
      <x:c r="G6" s="42" t="str">
        <x:v>✦</x:v>
      </x:c>
      <x:c r="H6" s="42" t="str"/>
      <x:c r="I6" s="42" t="str"/>
      <x:c r="J6" s="42" t="str"/>
      <x:c r="K6" s="42" t="str"/>
      <x:c r="L6" s="42" t="str"/>
      <x:c r="M6" s="42" t="str"/>
      <x:c r="N6" s="42" t="str">
        <x:v>https://www.usccb.org/resources/2026cal.pdf</x:v>
      </x:c>
      <x:c r="O6" s="115" t="e">
        <x:f>HYPERLINK("https://bible.usccb.org/bible/readings/010526.cfm","Open official USCCB readings ↗")</x:f>
        <x:v>HYPERLINK is not implemented. linkLocation=https://bible.usccb.org/bible/readings/010526.cfm, friendlyName=Open official USCCB readings ↗</x:v>
      </x:c>
    </x:row>
    <x:row r="7">
      <x:c r="A7" s="40" t="n">
        <x:v>46028</x:v>
      </x:c>
      <x:c r="B7" s="41" t="str">
        <x:v>Tuesday</x:v>
      </x:c>
      <x:c r="C7" s="46" t="str">
        <x:v>Christmas</x:v>
      </x:c>
      <x:c r="D7" s="41" t="str">
        <x:v>Christmas Weekday</x:v>
      </x:c>
      <x:c r="E7" s="41" t="str">
        <x:v>Weekday</x:v>
      </x:c>
      <x:c r="F7" s="42" t="str">
        <x:v>Saint André Bessette [Optional Memorial]</x:v>
      </x:c>
      <x:c r="G7" s="42" t="str">
        <x:v>✦</x:v>
      </x:c>
      <x:c r="H7" s="42" t="str"/>
      <x:c r="I7" s="42" t="str"/>
      <x:c r="J7" s="42" t="str"/>
      <x:c r="K7" s="42" t="str"/>
      <x:c r="L7" s="42" t="str"/>
      <x:c r="M7" s="42" t="str"/>
      <x:c r="N7" s="42" t="str">
        <x:v>https://www.usccb.org/resources/2026cal.pdf</x:v>
      </x:c>
      <x:c r="O7" s="115" t="e">
        <x:f>HYPERLINK("https://bible.usccb.org/bible/readings/010626.cfm","Open official USCCB readings ↗")</x:f>
        <x:v>HYPERLINK is not implemented. linkLocation=https://bible.usccb.org/bible/readings/010626.cfm, friendlyName=Open official USCCB readings ↗</x:v>
      </x:c>
    </x:row>
    <x:row r="8">
      <x:c r="A8" s="40" t="n">
        <x:v>46029</x:v>
      </x:c>
      <x:c r="B8" s="41" t="str">
        <x:v>Wednesday</x:v>
      </x:c>
      <x:c r="C8" s="46" t="str">
        <x:v>Christmas</x:v>
      </x:c>
      <x:c r="D8" s="41" t="str">
        <x:v>Christmas Weekday</x:v>
      </x:c>
      <x:c r="E8" s="41" t="str">
        <x:v>Weekday</x:v>
      </x:c>
      <x:c r="F8" s="42" t="str">
        <x:v>Saint Raymond of Penyafort [Optional Memorial]</x:v>
      </x:c>
      <x:c r="G8" s="42" t="str">
        <x:v>✦ 🕯</x:v>
      </x:c>
      <x:c r="H8" s="42" t="str"/>
      <x:c r="I8" s="42" t="str"/>
      <x:c r="J8" s="42" t="str"/>
      <x:c r="K8" s="58" t="str">
        <x:v>🕯 Franciscan post-Epiphany Lent — historical Franciscan practice</x:v>
      </x:c>
      <x:c r="L8" s="42" t="str"/>
      <x:c r="M8" s="42" t="str"/>
      <x:c r="N8" s="42" t="str">
        <x:v>https://www.usccb.org/resources/2026cal.pdf
https://www.franciscantradition.org/blog/the-five-lents-of-francis-vjkyuy/</x:v>
      </x:c>
      <x:c r="O8" s="115" t="e">
        <x:f>HYPERLINK("https://bible.usccb.org/bible/readings/010726.cfm","Open official USCCB readings ↗")</x:f>
        <x:v>HYPERLINK is not implemented. linkLocation=https://bible.usccb.org/bible/readings/010726.cfm, friendlyName=Open official USCCB readings ↗</x:v>
      </x:c>
    </x:row>
    <x:row r="9">
      <x:c r="A9" s="40" t="n">
        <x:v>46030</x:v>
      </x:c>
      <x:c r="B9" s="41" t="str">
        <x:v>Thursday</x:v>
      </x:c>
      <x:c r="C9" s="46" t="str">
        <x:v>Christmas</x:v>
      </x:c>
      <x:c r="D9" s="41" t="str">
        <x:v>Christmas Weekday</x:v>
      </x:c>
      <x:c r="E9" s="41" t="str">
        <x:v>Weekday</x:v>
      </x:c>
      <x:c r="F9" s="42" t="str"/>
      <x:c r="G9" s="42" t="str">
        <x:v>🕯</x:v>
      </x:c>
      <x:c r="H9" s="42" t="str"/>
      <x:c r="I9" s="42" t="str"/>
      <x:c r="J9" s="42" t="str"/>
      <x:c r="K9" s="58" t="str">
        <x:v>🕯 Franciscan post-Epiphany Lent — historical Franciscan practice</x:v>
      </x:c>
      <x:c r="L9" s="42" t="str"/>
      <x:c r="M9" s="42" t="str"/>
      <x:c r="N9" s="42" t="str">
        <x:v>https://www.usccb.org/resources/2026cal.pdf
https://www.franciscantradition.org/blog/the-five-lents-of-francis-vjkyuy/</x:v>
      </x:c>
      <x:c r="O9" s="115" t="e">
        <x:f>HYPERLINK("https://bible.usccb.org/bible/readings/010826.cfm","Open official USCCB readings ↗")</x:f>
        <x:v>HYPERLINK is not implemented. linkLocation=https://bible.usccb.org/bible/readings/010826.cfm, friendlyName=Open official USCCB readings ↗</x:v>
      </x:c>
    </x:row>
    <x:row r="10">
      <x:c r="A10" s="40" t="n">
        <x:v>46031</x:v>
      </x:c>
      <x:c r="B10" s="41" t="str">
        <x:v>Friday</x:v>
      </x:c>
      <x:c r="C10" s="46" t="str">
        <x:v>Christmas</x:v>
      </x:c>
      <x:c r="D10" s="41" t="str">
        <x:v>Christmas Weekday</x:v>
      </x:c>
      <x:c r="E10" s="41" t="str">
        <x:v>Weekday</x:v>
      </x:c>
      <x:c r="F10" s="42" t="str"/>
      <x:c r="G10" s="42" t="str">
        <x:v>Ⓟ 🕯</x:v>
      </x:c>
      <x:c r="H10" s="42" t="str"/>
      <x:c r="I10" s="42" t="str"/>
      <x:c r="J10" s="56" t="str">
        <x:v>Friday penance — outside Lent, U.S. Catholics may choose an appropriate penitential practice</x:v>
      </x:c>
      <x:c r="K10" s="58" t="str">
        <x:v>🕯 Franciscan post-Epiphany Lent — historical Franciscan practice</x:v>
      </x:c>
      <x:c r="L10" s="42" t="str"/>
      <x:c r="M10" s="42" t="str"/>
      <x:c r="N10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0" s="115" t="e">
        <x:f>HYPERLINK("https://bible.usccb.org/bible/readings/010926.cfm","Open official USCCB readings ↗")</x:f>
        <x:v>HYPERLINK is not implemented. linkLocation=https://bible.usccb.org/bible/readings/010926.cfm, friendlyName=Open official USCCB readings ↗</x:v>
      </x:c>
    </x:row>
    <x:row r="11">
      <x:c r="A11" s="40" t="n">
        <x:v>46032</x:v>
      </x:c>
      <x:c r="B11" s="41" t="str">
        <x:v>Saturday</x:v>
      </x:c>
      <x:c r="C11" s="46" t="str">
        <x:v>Christmas</x:v>
      </x:c>
      <x:c r="D11" s="41" t="str">
        <x:v>Christmas Weekday</x:v>
      </x:c>
      <x:c r="E11" s="41" t="str">
        <x:v>Weekday</x:v>
      </x:c>
      <x:c r="F11" s="42" t="str"/>
      <x:c r="G11" s="42" t="str">
        <x:v>🕯</x:v>
      </x:c>
      <x:c r="H11" s="42" t="str"/>
      <x:c r="I11" s="42" t="str"/>
      <x:c r="J11" s="42" t="str"/>
      <x:c r="K11" s="58" t="str">
        <x:v>🕯 Franciscan post-Epiphany Lent — historical Franciscan practice</x:v>
      </x:c>
      <x:c r="L11" s="42" t="str"/>
      <x:c r="M11" s="42" t="str"/>
      <x:c r="N11" s="42" t="str">
        <x:v>https://www.usccb.org/resources/2026cal.pdf
https://www.franciscantradition.org/blog/the-five-lents-of-francis-vjkyuy/</x:v>
      </x:c>
      <x:c r="O11" s="115" t="e">
        <x:f>HYPERLINK("https://bible.usccb.org/bible/readings/011026.cfm","Open official USCCB readings ↗")</x:f>
        <x:v>HYPERLINK is not implemented. linkLocation=https://bible.usccb.org/bible/readings/011026.cfm, friendlyName=Open official USCCB readings ↗</x:v>
      </x:c>
    </x:row>
    <x:row r="12">
      <x:c r="A12" s="40" t="n">
        <x:v>46033</x:v>
      </x:c>
      <x:c r="B12" s="41" t="str">
        <x:v>Sunday</x:v>
      </x:c>
      <x:c r="C12" s="46" t="str">
        <x:v>Christmas</x:v>
      </x:c>
      <x:c r="D12" s="41" t="str">
        <x:v>Baptism of the Lord</x:v>
      </x:c>
      <x:c r="E12" s="41" t="str">
        <x:v>Feast</x:v>
      </x:c>
      <x:c r="F12" s="42" t="str"/>
      <x:c r="G12" s="42" t="str">
        <x:v>★ ✝ ⛪ 🕯</x:v>
      </x:c>
      <x:c r="H12" s="52" t="str">
        <x:v>⛪ Sunday Mass obligation</x:v>
      </x:c>
      <x:c r="I12" s="42" t="str"/>
      <x:c r="J12" s="42" t="str"/>
      <x:c r="K12" s="58" t="str">
        <x:v>🕯 Franciscan post-Epiphany Lent — historical Franciscan practice</x:v>
      </x:c>
      <x:c r="L12" s="42" t="str"/>
      <x:c r="M12" s="42" t="str"/>
      <x:c r="N12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12" s="115" t="e">
        <x:f>HYPERLINK("https://bible.usccb.org/bible/readings/011126.cfm","Open official USCCB readings ↗")</x:f>
        <x:v>HYPERLINK is not implemented. linkLocation=https://bible.usccb.org/bible/readings/011126.cfm, friendlyName=Open official USCCB readings ↗</x:v>
      </x:c>
    </x:row>
    <x:row r="13">
      <x:c r="A13" s="40" t="n">
        <x:v>46034</x:v>
      </x:c>
      <x:c r="B13" s="41" t="str">
        <x:v>Monday</x:v>
      </x:c>
      <x:c r="C13" s="60" t="str">
        <x:v>Ordinary Time</x:v>
      </x:c>
      <x:c r="D13" s="41" t="str">
        <x:v>Weekday in Ordinary Time</x:v>
      </x:c>
      <x:c r="E13" s="41" t="str">
        <x:v>Weekday</x:v>
      </x:c>
      <x:c r="F13" s="42" t="str"/>
      <x:c r="G13" s="42" t="str">
        <x:v>🕯</x:v>
      </x:c>
      <x:c r="H13" s="42" t="str"/>
      <x:c r="I13" s="42" t="str"/>
      <x:c r="J13" s="42" t="str"/>
      <x:c r="K13" s="58" t="str">
        <x:v>🕯 Franciscan post-Epiphany Lent — historical Franciscan practice</x:v>
      </x:c>
      <x:c r="L13" s="42" t="str"/>
      <x:c r="M13" s="42" t="str"/>
      <x:c r="N13" s="42" t="str">
        <x:v>https://www.usccb.org/resources/2026cal.pdf
https://www.franciscantradition.org/blog/the-five-lents-of-francis-vjkyuy/</x:v>
      </x:c>
      <x:c r="O13" s="115" t="e">
        <x:f>HYPERLINK("https://bible.usccb.org/bible/readings/011226.cfm","Open official USCCB readings ↗")</x:f>
        <x:v>HYPERLINK is not implemented. linkLocation=https://bible.usccb.org/bible/readings/011226.cfm, friendlyName=Open official USCCB readings ↗</x:v>
      </x:c>
    </x:row>
    <x:row r="14">
      <x:c r="A14" s="40" t="n">
        <x:v>46035</x:v>
      </x:c>
      <x:c r="B14" s="41" t="str">
        <x:v>Tuesday</x:v>
      </x:c>
      <x:c r="C14" s="60" t="str">
        <x:v>Ordinary Time</x:v>
      </x:c>
      <x:c r="D14" s="41" t="str">
        <x:v>Weekday in Ordinary Time</x:v>
      </x:c>
      <x:c r="E14" s="41" t="str">
        <x:v>Weekday</x:v>
      </x:c>
      <x:c r="F14" s="42" t="str">
        <x:v>Saint Hilary [Optional Memorial]</x:v>
      </x:c>
      <x:c r="G14" s="42" t="str">
        <x:v>✦ 🕯</x:v>
      </x:c>
      <x:c r="H14" s="42" t="str"/>
      <x:c r="I14" s="42" t="str"/>
      <x:c r="J14" s="42" t="str"/>
      <x:c r="K14" s="58" t="str">
        <x:v>🕯 Franciscan post-Epiphany Lent — historical Franciscan practice</x:v>
      </x:c>
      <x:c r="L14" s="42" t="str"/>
      <x:c r="M14" s="42" t="str"/>
      <x:c r="N14" s="42" t="str">
        <x:v>https://www.usccb.org/resources/2026cal.pdf
https://www.franciscantradition.org/blog/the-five-lents-of-francis-vjkyuy/</x:v>
      </x:c>
      <x:c r="O14" s="115" t="e">
        <x:f>HYPERLINK("https://bible.usccb.org/bible/readings/011326.cfm","Open official USCCB readings ↗")</x:f>
        <x:v>HYPERLINK is not implemented. linkLocation=https://bible.usccb.org/bible/readings/011326.cfm, friendlyName=Open official USCCB readings ↗</x:v>
      </x:c>
    </x:row>
    <x:row r="15">
      <x:c r="A15" s="40" t="n">
        <x:v>46036</x:v>
      </x:c>
      <x:c r="B15" s="41" t="str">
        <x:v>Wednesday</x:v>
      </x:c>
      <x:c r="C15" s="60" t="str">
        <x:v>Ordinary Time</x:v>
      </x:c>
      <x:c r="D15" s="41" t="str">
        <x:v>Weekday in Ordinary Time</x:v>
      </x:c>
      <x:c r="E15" s="41" t="str">
        <x:v>Weekday</x:v>
      </x:c>
      <x:c r="F15" s="42" t="str"/>
      <x:c r="G15" s="42" t="str">
        <x:v>🕯</x:v>
      </x:c>
      <x:c r="H15" s="42" t="str"/>
      <x:c r="I15" s="42" t="str"/>
      <x:c r="J15" s="42" t="str"/>
      <x:c r="K15" s="58" t="str">
        <x:v>🕯 Franciscan post-Epiphany Lent — historical Franciscan practice</x:v>
      </x:c>
      <x:c r="L15" s="42" t="str"/>
      <x:c r="M15" s="42" t="str"/>
      <x:c r="N15" s="42" t="str">
        <x:v>https://www.usccb.org/resources/2026cal.pdf
https://www.franciscantradition.org/blog/the-five-lents-of-francis-vjkyuy/</x:v>
      </x:c>
      <x:c r="O15" s="115" t="e">
        <x:f>HYPERLINK("https://bible.usccb.org/bible/readings/011426.cfm","Open official USCCB readings ↗")</x:f>
        <x:v>HYPERLINK is not implemented. linkLocation=https://bible.usccb.org/bible/readings/011426.cfm, friendlyName=Open official USCCB readings ↗</x:v>
      </x:c>
    </x:row>
    <x:row r="16">
      <x:c r="A16" s="40" t="n">
        <x:v>46037</x:v>
      </x:c>
      <x:c r="B16" s="41" t="str">
        <x:v>Thursday</x:v>
      </x:c>
      <x:c r="C16" s="60" t="str">
        <x:v>Ordinary Time</x:v>
      </x:c>
      <x:c r="D16" s="41" t="str">
        <x:v>Weekday in Ordinary Time</x:v>
      </x:c>
      <x:c r="E16" s="41" t="str">
        <x:v>Weekday</x:v>
      </x:c>
      <x:c r="F16" s="42" t="str"/>
      <x:c r="G16" s="42" t="str">
        <x:v>🕯</x:v>
      </x:c>
      <x:c r="H16" s="42" t="str"/>
      <x:c r="I16" s="42" t="str"/>
      <x:c r="J16" s="42" t="str"/>
      <x:c r="K16" s="58" t="str">
        <x:v>🕯 Franciscan post-Epiphany Lent — historical Franciscan practice</x:v>
      </x:c>
      <x:c r="L16" s="42" t="str"/>
      <x:c r="M16" s="42" t="str"/>
      <x:c r="N16" s="42" t="str">
        <x:v>https://www.usccb.org/resources/2026cal.pdf
https://www.franciscantradition.org/blog/the-five-lents-of-francis-vjkyuy/</x:v>
      </x:c>
      <x:c r="O16" s="115" t="e">
        <x:f>HYPERLINK("https://bible.usccb.org/bible/readings/011526.cfm","Open official USCCB readings ↗")</x:f>
        <x:v>HYPERLINK is not implemented. linkLocation=https://bible.usccb.org/bible/readings/011526.cfm, friendlyName=Open official USCCB readings ↗</x:v>
      </x:c>
    </x:row>
    <x:row r="17">
      <x:c r="A17" s="40" t="n">
        <x:v>46038</x:v>
      </x:c>
      <x:c r="B17" s="41" t="str">
        <x:v>Friday</x:v>
      </x:c>
      <x:c r="C17" s="60" t="str">
        <x:v>Ordinary Time</x:v>
      </x:c>
      <x:c r="D17" s="41" t="str">
        <x:v>Weekday in Ordinary Time</x:v>
      </x:c>
      <x:c r="E17" s="41" t="str">
        <x:v>Weekday</x:v>
      </x:c>
      <x:c r="F17" s="42" t="str"/>
      <x:c r="G17" s="42" t="str">
        <x:v>Ⓟ 🕯</x:v>
      </x:c>
      <x:c r="H17" s="42" t="str"/>
      <x:c r="I17" s="42" t="str"/>
      <x:c r="J17" s="56" t="str">
        <x:v>Friday penance — outside Lent, U.S. Catholics may choose an appropriate penitential practice</x:v>
      </x:c>
      <x:c r="K17" s="58" t="str">
        <x:v>🕯 Franciscan post-Epiphany Lent — historical Franciscan practice</x:v>
      </x:c>
      <x:c r="L17" s="42" t="str"/>
      <x:c r="M17" s="42" t="str"/>
      <x:c r="N17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7" s="115" t="e">
        <x:f>HYPERLINK("https://bible.usccb.org/bible/readings/011626.cfm","Open official USCCB readings ↗")</x:f>
        <x:v>HYPERLINK is not implemented. linkLocation=https://bible.usccb.org/bible/readings/011626.cfm, friendlyName=Open official USCCB readings ↗</x:v>
      </x:c>
    </x:row>
    <x:row r="18">
      <x:c r="A18" s="40" t="n">
        <x:v>46039</x:v>
      </x:c>
      <x:c r="B18" s="41" t="str">
        <x:v>Saturday</x:v>
      </x:c>
      <x:c r="C18" s="60" t="str">
        <x:v>Ordinary Time</x:v>
      </x:c>
      <x:c r="D18" s="41" t="str">
        <x:v>Saint Anthony, Abbot</x:v>
      </x:c>
      <x:c r="E18" s="41" t="str">
        <x:v>Memorial</x:v>
      </x:c>
      <x:c r="F18" s="42" t="str">
        <x:v>Saint Anthony, Abbot [Memorial]</x:v>
      </x:c>
      <x:c r="G18" s="42" t="str">
        <x:v>✦ 🕯</x:v>
      </x:c>
      <x:c r="H18" s="42" t="str"/>
      <x:c r="I18" s="42" t="str"/>
      <x:c r="J18" s="42" t="str"/>
      <x:c r="K18" s="58" t="str">
        <x:v>🕯 Franciscan post-Epiphany Lent — historical Franciscan practice</x:v>
      </x:c>
      <x:c r="L18" s="42" t="str"/>
      <x:c r="M18" s="42" t="str"/>
      <x:c r="N18" s="42" t="str">
        <x:v>https://www.usccb.org/resources/2026cal.pdf
https://www.franciscantradition.org/blog/the-five-lents-of-francis-vjkyuy/</x:v>
      </x:c>
      <x:c r="O18" s="115" t="e">
        <x:f>HYPERLINK("https://bible.usccb.org/bible/readings/011726.cfm","Open official USCCB readings ↗")</x:f>
        <x:v>HYPERLINK is not implemented. linkLocation=https://bible.usccb.org/bible/readings/011726.cfm, friendlyName=Open official USCCB readings ↗</x:v>
      </x:c>
    </x:row>
    <x:row r="19">
      <x:c r="A19" s="40" t="n">
        <x:v>46040</x:v>
      </x:c>
      <x:c r="B19" s="41" t="str">
        <x:v>Sunday</x:v>
      </x:c>
      <x:c r="C19" s="60" t="str">
        <x:v>Ordinary Time</x:v>
      </x:c>
      <x:c r="D19" s="41" t="str">
        <x:v>Second Sunday in Ordinary Time</x:v>
      </x:c>
      <x:c r="E19" s="41" t="str">
        <x:v>Sunday</x:v>
      </x:c>
      <x:c r="F19" s="42" t="str"/>
      <x:c r="G19" s="42" t="str">
        <x:v>⛪ 🕯</x:v>
      </x:c>
      <x:c r="H19" s="52" t="str">
        <x:v>⛪ Sunday Mass obligation</x:v>
      </x:c>
      <x:c r="I19" s="42" t="str"/>
      <x:c r="J19" s="42" t="str"/>
      <x:c r="K19" s="58" t="str">
        <x:v>🕯 Franciscan post-Epiphany Lent — historical Franciscan practice</x:v>
      </x:c>
      <x:c r="L19" s="42" t="str"/>
      <x:c r="M19" s="42" t="str"/>
      <x:c r="N19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19" s="115" t="e">
        <x:f>HYPERLINK("https://bible.usccb.org/bible/readings/011826.cfm","Open official USCCB readings ↗")</x:f>
        <x:v>HYPERLINK is not implemented. linkLocation=https://bible.usccb.org/bible/readings/011826.cfm, friendlyName=Open official USCCB readings ↗</x:v>
      </x:c>
    </x:row>
    <x:row r="20">
      <x:c r="A20" s="40" t="n">
        <x:v>46041</x:v>
      </x:c>
      <x:c r="B20" s="41" t="str">
        <x:v>Monday</x:v>
      </x:c>
      <x:c r="C20" s="60" t="str">
        <x:v>Ordinary Time</x:v>
      </x:c>
      <x:c r="D20" s="41" t="str">
        <x:v>Weekday in Ordinary Time</x:v>
      </x:c>
      <x:c r="E20" s="41" t="str">
        <x:v>Weekday</x:v>
      </x:c>
      <x:c r="F20" s="42" t="str"/>
      <x:c r="G20" s="42" t="str">
        <x:v>🕯</x:v>
      </x:c>
      <x:c r="H20" s="42" t="str"/>
      <x:c r="I20" s="42" t="str"/>
      <x:c r="J20" s="42" t="str"/>
      <x:c r="K20" s="58" t="str">
        <x:v>🕯 Franciscan post-Epiphany Lent — historical Franciscan practice</x:v>
      </x:c>
      <x:c r="L20" s="42" t="str"/>
      <x:c r="M20" s="42" t="str"/>
      <x:c r="N20" s="42" t="str">
        <x:v>https://www.usccb.org/resources/2026cal.pdf
https://www.franciscantradition.org/blog/the-five-lents-of-francis-vjkyuy/</x:v>
      </x:c>
      <x:c r="O20" s="115" t="e">
        <x:f>HYPERLINK("https://bible.usccb.org/bible/readings/011926.cfm","Open official USCCB readings ↗")</x:f>
        <x:v>HYPERLINK is not implemented. linkLocation=https://bible.usccb.org/bible/readings/011926.cfm, friendlyName=Open official USCCB readings ↗</x:v>
      </x:c>
    </x:row>
    <x:row r="21">
      <x:c r="A21" s="40" t="n">
        <x:v>46042</x:v>
      </x:c>
      <x:c r="B21" s="41" t="str">
        <x:v>Tuesday</x:v>
      </x:c>
      <x:c r="C21" s="60" t="str">
        <x:v>Ordinary Time</x:v>
      </x:c>
      <x:c r="D21" s="41" t="str">
        <x:v>Weekday in Ordinary Time</x:v>
      </x:c>
      <x:c r="E21" s="41" t="str">
        <x:v>Weekday</x:v>
      </x:c>
      <x:c r="F21" s="42" t="str">
        <x:v>Saint Fabian; Saint Sebastian [Optional Memorial]</x:v>
      </x:c>
      <x:c r="G21" s="42" t="str">
        <x:v>✦ 🕯</x:v>
      </x:c>
      <x:c r="H21" s="42" t="str"/>
      <x:c r="I21" s="42" t="str"/>
      <x:c r="J21" s="42" t="str"/>
      <x:c r="K21" s="58" t="str">
        <x:v>🕯 Franciscan post-Epiphany Lent — historical Franciscan practice</x:v>
      </x:c>
      <x:c r="L21" s="42" t="str"/>
      <x:c r="M21" s="42" t="str"/>
      <x:c r="N21" s="42" t="str">
        <x:v>https://www.usccb.org/resources/2026cal.pdf
https://www.franciscantradition.org/blog/the-five-lents-of-francis-vjkyuy/</x:v>
      </x:c>
      <x:c r="O21" s="115" t="e">
        <x:f>HYPERLINK("https://bible.usccb.org/bible/readings/012026.cfm","Open official USCCB readings ↗")</x:f>
        <x:v>HYPERLINK is not implemented. linkLocation=https://bible.usccb.org/bible/readings/012026.cfm, friendlyName=Open official USCCB readings ↗</x:v>
      </x:c>
    </x:row>
    <x:row r="22">
      <x:c r="A22" s="40" t="n">
        <x:v>46043</x:v>
      </x:c>
      <x:c r="B22" s="41" t="str">
        <x:v>Wednesday</x:v>
      </x:c>
      <x:c r="C22" s="60" t="str">
        <x:v>Ordinary Time</x:v>
      </x:c>
      <x:c r="D22" s="41" t="str">
        <x:v>Saint Agnes</x:v>
      </x:c>
      <x:c r="E22" s="41" t="str">
        <x:v>Memorial</x:v>
      </x:c>
      <x:c r="F22" s="42" t="str">
        <x:v>Saint Agnes [Memorial]</x:v>
      </x:c>
      <x:c r="G22" s="42" t="str">
        <x:v>✦ 🕯</x:v>
      </x:c>
      <x:c r="H22" s="42" t="str"/>
      <x:c r="I22" s="42" t="str"/>
      <x:c r="J22" s="42" t="str"/>
      <x:c r="K22" s="58" t="str">
        <x:v>🕯 Franciscan post-Epiphany Lent — historical Franciscan practice</x:v>
      </x:c>
      <x:c r="L22" s="42" t="str"/>
      <x:c r="M22" s="42" t="str"/>
      <x:c r="N22" s="42" t="str">
        <x:v>https://www.usccb.org/resources/2026cal.pdf
https://www.franciscantradition.org/blog/the-five-lents-of-francis-vjkyuy/</x:v>
      </x:c>
      <x:c r="O22" s="115" t="e">
        <x:f>HYPERLINK("https://bible.usccb.org/bible/readings/012126.cfm","Open official USCCB readings ↗")</x:f>
        <x:v>HYPERLINK is not implemented. linkLocation=https://bible.usccb.org/bible/readings/012126.cfm, friendlyName=Open official USCCB readings ↗</x:v>
      </x:c>
    </x:row>
    <x:row r="23">
      <x:c r="A23" s="40" t="n">
        <x:v>46044</x:v>
      </x:c>
      <x:c r="B23" s="41" t="str">
        <x:v>Thursday</x:v>
      </x:c>
      <x:c r="C23" s="60" t="str">
        <x:v>Ordinary Time</x:v>
      </x:c>
      <x:c r="D23" s="41" t="str">
        <x:v>Weekday in Ordinary Time</x:v>
      </x:c>
      <x:c r="E23" s="41" t="str">
        <x:v>Weekday</x:v>
      </x:c>
      <x:c r="F23" s="42" t="str">
        <x:v>Day of Prayer for the Legal Protection of Unborn Children [Special Observance]</x:v>
      </x:c>
      <x:c r="G23" s="42" t="str">
        <x:v>🕯</x:v>
      </x:c>
      <x:c r="H23" s="42" t="str"/>
      <x:c r="I23" s="42" t="str"/>
      <x:c r="J23" s="42" t="str"/>
      <x:c r="K23" s="58" t="str">
        <x:v>🕯 Franciscan post-Epiphany Lent — historical Franciscan practice</x:v>
      </x:c>
      <x:c r="L23" s="42" t="str"/>
      <x:c r="M23" s="42" t="str"/>
      <x:c r="N23" s="42" t="str">
        <x:v>https://www.usccb.org/resources/2026cal.pdf
https://www.franciscantradition.org/blog/the-five-lents-of-francis-vjkyuy/</x:v>
      </x:c>
      <x:c r="O23" s="115" t="e">
        <x:f>HYPERLINK("https://bible.usccb.org/bible/readings/012226.cfm","Open official USCCB readings ↗")</x:f>
        <x:v>HYPERLINK is not implemented. linkLocation=https://bible.usccb.org/bible/readings/012226.cfm, friendlyName=Open official USCCB readings ↗</x:v>
      </x:c>
    </x:row>
    <x:row r="24">
      <x:c r="A24" s="40" t="n">
        <x:v>46045</x:v>
      </x:c>
      <x:c r="B24" s="41" t="str">
        <x:v>Friday</x:v>
      </x:c>
      <x:c r="C24" s="60" t="str">
        <x:v>Ordinary Time</x:v>
      </x:c>
      <x:c r="D24" s="41" t="str">
        <x:v>Weekday in Ordinary Time</x:v>
      </x:c>
      <x:c r="E24" s="41" t="str">
        <x:v>Weekday</x:v>
      </x:c>
      <x:c r="F24" s="42" t="str">
        <x:v>Saint Vincent; Saint Marianne Cope [Optional Memorial]</x:v>
      </x:c>
      <x:c r="G24" s="42" t="str">
        <x:v>✦ Ⓟ 🕯</x:v>
      </x:c>
      <x:c r="H24" s="42" t="str"/>
      <x:c r="I24" s="42" t="str"/>
      <x:c r="J24" s="56" t="str">
        <x:v>Friday penance — outside Lent, U.S. Catholics may choose an appropriate penitential practice</x:v>
      </x:c>
      <x:c r="K24" s="58" t="str">
        <x:v>🕯 Franciscan post-Epiphany Lent — historical Franciscan practice</x:v>
      </x:c>
      <x:c r="L24" s="42" t="str"/>
      <x:c r="M24" s="42" t="str"/>
      <x:c r="N24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24" s="115" t="e">
        <x:f>HYPERLINK("https://bible.usccb.org/bible/readings/012326.cfm","Open official USCCB readings ↗")</x:f>
        <x:v>HYPERLINK is not implemented. linkLocation=https://bible.usccb.org/bible/readings/012326.cfm, friendlyName=Open official USCCB readings ↗</x:v>
      </x:c>
    </x:row>
    <x:row r="25">
      <x:c r="A25" s="40" t="n">
        <x:v>46046</x:v>
      </x:c>
      <x:c r="B25" s="41" t="str">
        <x:v>Saturday</x:v>
      </x:c>
      <x:c r="C25" s="60" t="str">
        <x:v>Ordinary Time</x:v>
      </x:c>
      <x:c r="D25" s="41" t="str">
        <x:v>Saint Francis de Sales</x:v>
      </x:c>
      <x:c r="E25" s="41" t="str">
        <x:v>Memorial</x:v>
      </x:c>
      <x:c r="F25" s="42" t="str">
        <x:v>Saint Francis de Sales [Memorial]</x:v>
      </x:c>
      <x:c r="G25" s="42" t="str">
        <x:v>✦ 🕯</x:v>
      </x:c>
      <x:c r="H25" s="42" t="str"/>
      <x:c r="I25" s="42" t="str"/>
      <x:c r="J25" s="42" t="str"/>
      <x:c r="K25" s="58" t="str">
        <x:v>🕯 Franciscan post-Epiphany Lent — historical Franciscan practice</x:v>
      </x:c>
      <x:c r="L25" s="42" t="str"/>
      <x:c r="M25" s="42" t="str"/>
      <x:c r="N25" s="42" t="str">
        <x:v>https://www.usccb.org/resources/2026cal.pdf
https://www.franciscantradition.org/blog/the-five-lents-of-francis-vjkyuy/</x:v>
      </x:c>
      <x:c r="O25" s="115" t="e">
        <x:f>HYPERLINK("https://bible.usccb.org/bible/readings/012426.cfm","Open official USCCB readings ↗")</x:f>
        <x:v>HYPERLINK is not implemented. linkLocation=https://bible.usccb.org/bible/readings/012426.cfm, friendlyName=Open official USCCB readings ↗</x:v>
      </x:c>
    </x:row>
    <x:row r="26">
      <x:c r="A26" s="40" t="n">
        <x:v>46047</x:v>
      </x:c>
      <x:c r="B26" s="41" t="str">
        <x:v>Sunday</x:v>
      </x:c>
      <x:c r="C26" s="60" t="str">
        <x:v>Ordinary Time</x:v>
      </x:c>
      <x:c r="D26" s="41" t="str">
        <x:v>Third Sunday in Ordinary Time</x:v>
      </x:c>
      <x:c r="E26" s="41" t="str">
        <x:v>Sunday</x:v>
      </x:c>
      <x:c r="F26" s="42" t="str">
        <x:v>Conversion of Saint Paul, Apostle [Feast]</x:v>
      </x:c>
      <x:c r="G26" s="42" t="str">
        <x:v>★ ✦ ⛪ 🕯</x:v>
      </x:c>
      <x:c r="H26" s="52" t="str">
        <x:v>⛪ Sunday Mass obligation</x:v>
      </x:c>
      <x:c r="I26" s="42" t="str"/>
      <x:c r="J26" s="42" t="str"/>
      <x:c r="K26" s="58" t="str">
        <x:v>🕯 Franciscan post-Epiphany Lent — historical Franciscan practice</x:v>
      </x:c>
      <x:c r="L26" s="42" t="str"/>
      <x:c r="M26" s="42" t="str">
        <x:v>A fixed observance also falls today, but the Sunday or higher-ranking celebration takes liturgical precedence.</x:v>
      </x:c>
      <x:c r="N26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26" s="115" t="e">
        <x:f>HYPERLINK("https://bible.usccb.org/bible/readings/012526.cfm","Open official USCCB readings ↗")</x:f>
        <x:v>HYPERLINK is not implemented. linkLocation=https://bible.usccb.org/bible/readings/012526.cfm, friendlyName=Open official USCCB readings ↗</x:v>
      </x:c>
    </x:row>
    <x:row r="27">
      <x:c r="A27" s="40" t="n">
        <x:v>46048</x:v>
      </x:c>
      <x:c r="B27" s="41" t="str">
        <x:v>Monday</x:v>
      </x:c>
      <x:c r="C27" s="60" t="str">
        <x:v>Ordinary Time</x:v>
      </x:c>
      <x:c r="D27" s="41" t="str">
        <x:v>Saints Timothy and Titus</x:v>
      </x:c>
      <x:c r="E27" s="41" t="str">
        <x:v>Memorial</x:v>
      </x:c>
      <x:c r="F27" s="42" t="str">
        <x:v>Saints Timothy and Titus [Memorial]</x:v>
      </x:c>
      <x:c r="G27" s="42" t="str">
        <x:v>✦ 🕯</x:v>
      </x:c>
      <x:c r="H27" s="42" t="str"/>
      <x:c r="I27" s="42" t="str"/>
      <x:c r="J27" s="42" t="str"/>
      <x:c r="K27" s="58" t="str">
        <x:v>🕯 Franciscan post-Epiphany Lent — historical Franciscan practice</x:v>
      </x:c>
      <x:c r="L27" s="42" t="str"/>
      <x:c r="M27" s="42" t="str"/>
      <x:c r="N27" s="42" t="str">
        <x:v>https://www.usccb.org/resources/2026cal.pdf
https://www.franciscantradition.org/blog/the-five-lents-of-francis-vjkyuy/</x:v>
      </x:c>
      <x:c r="O27" s="115" t="e">
        <x:f>HYPERLINK("https://bible.usccb.org/bible/readings/012626.cfm","Open official USCCB readings ↗")</x:f>
        <x:v>HYPERLINK is not implemented. linkLocation=https://bible.usccb.org/bible/readings/012626.cfm, friendlyName=Open official USCCB readings ↗</x:v>
      </x:c>
    </x:row>
    <x:row r="28">
      <x:c r="A28" s="40" t="n">
        <x:v>46049</x:v>
      </x:c>
      <x:c r="B28" s="41" t="str">
        <x:v>Tuesday</x:v>
      </x:c>
      <x:c r="C28" s="60" t="str">
        <x:v>Ordinary Time</x:v>
      </x:c>
      <x:c r="D28" s="41" t="str">
        <x:v>Weekday in Ordinary Time</x:v>
      </x:c>
      <x:c r="E28" s="41" t="str">
        <x:v>Weekday</x:v>
      </x:c>
      <x:c r="F28" s="42" t="str">
        <x:v>Saint Angela Merici [Optional Memorial]</x:v>
      </x:c>
      <x:c r="G28" s="42" t="str">
        <x:v>✦ 🕯</x:v>
      </x:c>
      <x:c r="H28" s="42" t="str"/>
      <x:c r="I28" s="42" t="str"/>
      <x:c r="J28" s="42" t="str"/>
      <x:c r="K28" s="58" t="str">
        <x:v>🕯 Franciscan post-Epiphany Lent — historical Franciscan practice</x:v>
      </x:c>
      <x:c r="L28" s="42" t="str"/>
      <x:c r="M28" s="42" t="str"/>
      <x:c r="N28" s="42" t="str">
        <x:v>https://www.usccb.org/resources/2026cal.pdf
https://www.franciscantradition.org/blog/the-five-lents-of-francis-vjkyuy/</x:v>
      </x:c>
      <x:c r="O28" s="115" t="e">
        <x:f>HYPERLINK("https://bible.usccb.org/bible/readings/012726.cfm","Open official USCCB readings ↗")</x:f>
        <x:v>HYPERLINK is not implemented. linkLocation=https://bible.usccb.org/bible/readings/012726.cfm, friendlyName=Open official USCCB readings ↗</x:v>
      </x:c>
    </x:row>
    <x:row r="29">
      <x:c r="A29" s="40" t="n">
        <x:v>46050</x:v>
      </x:c>
      <x:c r="B29" s="41" t="str">
        <x:v>Wednesday</x:v>
      </x:c>
      <x:c r="C29" s="60" t="str">
        <x:v>Ordinary Time</x:v>
      </x:c>
      <x:c r="D29" s="41" t="str">
        <x:v>Saint Thomas Aquinas</x:v>
      </x:c>
      <x:c r="E29" s="41" t="str">
        <x:v>Memorial</x:v>
      </x:c>
      <x:c r="F29" s="42" t="str">
        <x:v>Saint Thomas Aquinas [Memorial]</x:v>
      </x:c>
      <x:c r="G29" s="42" t="str">
        <x:v>✦ 🕯</x:v>
      </x:c>
      <x:c r="H29" s="42" t="str"/>
      <x:c r="I29" s="42" t="str"/>
      <x:c r="J29" s="42" t="str"/>
      <x:c r="K29" s="58" t="str">
        <x:v>🕯 Franciscan post-Epiphany Lent — historical Franciscan practice</x:v>
      </x:c>
      <x:c r="L29" s="42" t="str"/>
      <x:c r="M29" s="42" t="str"/>
      <x:c r="N29" s="42" t="str">
        <x:v>https://www.usccb.org/resources/2026cal.pdf
https://www.franciscantradition.org/blog/the-five-lents-of-francis-vjkyuy/</x:v>
      </x:c>
      <x:c r="O29" s="115" t="e">
        <x:f>HYPERLINK("https://bible.usccb.org/bible/readings/012826.cfm","Open official USCCB readings ↗")</x:f>
        <x:v>HYPERLINK is not implemented. linkLocation=https://bible.usccb.org/bible/readings/012826.cfm, friendlyName=Open official USCCB readings ↗</x:v>
      </x:c>
    </x:row>
    <x:row r="30">
      <x:c r="A30" s="40" t="n">
        <x:v>46051</x:v>
      </x:c>
      <x:c r="B30" s="41" t="str">
        <x:v>Thursday</x:v>
      </x:c>
      <x:c r="C30" s="60" t="str">
        <x:v>Ordinary Time</x:v>
      </x:c>
      <x:c r="D30" s="41" t="str">
        <x:v>Weekday in Ordinary Time</x:v>
      </x:c>
      <x:c r="E30" s="41" t="str">
        <x:v>Weekday</x:v>
      </x:c>
      <x:c r="F30" s="42" t="str"/>
      <x:c r="G30" s="42" t="str">
        <x:v>🕯</x:v>
      </x:c>
      <x:c r="H30" s="42" t="str"/>
      <x:c r="I30" s="42" t="str"/>
      <x:c r="J30" s="42" t="str"/>
      <x:c r="K30" s="58" t="str">
        <x:v>🕯 Franciscan post-Epiphany Lent — historical Franciscan practice</x:v>
      </x:c>
      <x:c r="L30" s="42" t="str"/>
      <x:c r="M30" s="42" t="str"/>
      <x:c r="N30" s="42" t="str">
        <x:v>https://www.usccb.org/resources/2026cal.pdf
https://www.franciscantradition.org/blog/the-five-lents-of-francis-vjkyuy/</x:v>
      </x:c>
      <x:c r="O30" s="115" t="e">
        <x:f>HYPERLINK("https://bible.usccb.org/bible/readings/012926.cfm","Open official USCCB readings ↗")</x:f>
        <x:v>HYPERLINK is not implemented. linkLocation=https://bible.usccb.org/bible/readings/012926.cfm, friendlyName=Open official USCCB readings ↗</x:v>
      </x:c>
    </x:row>
    <x:row r="31">
      <x:c r="A31" s="40" t="n">
        <x:v>46052</x:v>
      </x:c>
      <x:c r="B31" s="41" t="str">
        <x:v>Friday</x:v>
      </x:c>
      <x:c r="C31" s="60" t="str">
        <x:v>Ordinary Time</x:v>
      </x:c>
      <x:c r="D31" s="41" t="str">
        <x:v>Weekday in Ordinary Time</x:v>
      </x:c>
      <x:c r="E31" s="41" t="str">
        <x:v>Weekday</x:v>
      </x:c>
      <x:c r="F31" s="42" t="str"/>
      <x:c r="G31" s="42" t="str">
        <x:v>Ⓟ 🕯</x:v>
      </x:c>
      <x:c r="H31" s="42" t="str"/>
      <x:c r="I31" s="42" t="str"/>
      <x:c r="J31" s="56" t="str">
        <x:v>Friday penance — outside Lent, U.S. Catholics may choose an appropriate penitential practice</x:v>
      </x:c>
      <x:c r="K31" s="58" t="str">
        <x:v>🕯 Franciscan post-Epiphany Lent — historical Franciscan practice</x:v>
      </x:c>
      <x:c r="L31" s="42" t="str"/>
      <x:c r="M31" s="42" t="str"/>
      <x:c r="N31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31" s="115" t="e">
        <x:f>HYPERLINK("https://bible.usccb.org/bible/readings/013026.cfm","Open official USCCB readings ↗")</x:f>
        <x:v>HYPERLINK is not implemented. linkLocation=https://bible.usccb.org/bible/readings/013026.cfm, friendlyName=Open official USCCB readings ↗</x:v>
      </x:c>
    </x:row>
    <x:row r="32">
      <x:c r="A32" s="40" t="n">
        <x:v>46053</x:v>
      </x:c>
      <x:c r="B32" s="41" t="str">
        <x:v>Saturday</x:v>
      </x:c>
      <x:c r="C32" s="60" t="str">
        <x:v>Ordinary Time</x:v>
      </x:c>
      <x:c r="D32" s="41" t="str">
        <x:v>Saint John Bosco</x:v>
      </x:c>
      <x:c r="E32" s="41" t="str">
        <x:v>Memorial</x:v>
      </x:c>
      <x:c r="F32" s="42" t="str">
        <x:v>Saint John Bosco [Memorial]</x:v>
      </x:c>
      <x:c r="G32" s="42" t="str">
        <x:v>✦ 🕯</x:v>
      </x:c>
      <x:c r="H32" s="42" t="str"/>
      <x:c r="I32" s="42" t="str"/>
      <x:c r="J32" s="42" t="str"/>
      <x:c r="K32" s="58" t="str">
        <x:v>🕯 Franciscan post-Epiphany Lent — historical Franciscan practice</x:v>
      </x:c>
      <x:c r="L32" s="42" t="str"/>
      <x:c r="M32" s="42" t="str"/>
      <x:c r="N32" s="42" t="str">
        <x:v>https://www.usccb.org/resources/2026cal.pdf
https://www.franciscantradition.org/blog/the-five-lents-of-francis-vjkyuy/</x:v>
      </x:c>
      <x:c r="O32" s="115" t="e">
        <x:f>HYPERLINK("https://bible.usccb.org/bible/readings/013126.cfm","Open official USCCB readings ↗")</x:f>
        <x:v>HYPERLINK is not implemented. linkLocation=https://bible.usccb.org/bible/readings/013126.cfm, friendlyName=Open official USCCB readings ↗</x:v>
      </x:c>
    </x:row>
    <x:row r="33">
      <x:c r="A33" s="40" t="n">
        <x:v>46054</x:v>
      </x:c>
      <x:c r="B33" s="41" t="str">
        <x:v>Sunday</x:v>
      </x:c>
      <x:c r="C33" s="60" t="str">
        <x:v>Ordinary Time</x:v>
      </x:c>
      <x:c r="D33" s="41" t="str">
        <x:v>Fourth Sunday in Ordinary Time</x:v>
      </x:c>
      <x:c r="E33" s="41" t="str">
        <x:v>Sunday</x:v>
      </x:c>
      <x:c r="F33" s="42" t="str"/>
      <x:c r="G33" s="42" t="str">
        <x:v>⛪ 🕯</x:v>
      </x:c>
      <x:c r="H33" s="52" t="str">
        <x:v>⛪ Sunday Mass obligation</x:v>
      </x:c>
      <x:c r="I33" s="42" t="str"/>
      <x:c r="J33" s="42" t="str"/>
      <x:c r="K33" s="58" t="str">
        <x:v>🕯 Septuagesima Sunday — historical Roman pre-Lent
🕯 Franciscan post-Epiphany Lent — historical Franciscan practice</x:v>
      </x:c>
      <x:c r="L33" s="42" t="str"/>
      <x:c r="M33" s="42" t="str"/>
      <x:c r="N33" s="42" t="str">
        <x:v>https://www.usccb.org/resources/2026cal.pdf
https://www.usccb.org/beliefs-and-teachings/what-we-believe/canon-law/complementary-norms/canon-1246
https://www.newadvent.org/cathen/13721b.htm
https://www.franciscantradition.org/blog/the-five-lents-of-francis-vjkyuy/</x:v>
      </x:c>
      <x:c r="O33" s="115" t="e">
        <x:f>HYPERLINK("https://bible.usccb.org/bible/readings/020126.cfm","Open official USCCB readings ↗")</x:f>
        <x:v>HYPERLINK is not implemented. linkLocation=https://bible.usccb.org/bible/readings/020126.cfm, friendlyName=Open official USCCB readings ↗</x:v>
      </x:c>
    </x:row>
    <x:row r="34">
      <x:c r="A34" s="40" t="n">
        <x:v>46055</x:v>
      </x:c>
      <x:c r="B34" s="41" t="str">
        <x:v>Monday</x:v>
      </x:c>
      <x:c r="C34" s="60" t="str">
        <x:v>Ordinary Time</x:v>
      </x:c>
      <x:c r="D34" s="41" t="str">
        <x:v>Presentation of the Lord</x:v>
      </x:c>
      <x:c r="E34" s="41" t="str">
        <x:v>Feast</x:v>
      </x:c>
      <x:c r="F34" s="48" t="str">
        <x:v>Presentation of the Lord [Feast]</x:v>
      </x:c>
      <x:c r="G34" s="42" t="str">
        <x:v>★ ✝ 🌹 🕯</x:v>
      </x:c>
      <x:c r="H34" s="42" t="str"/>
      <x:c r="I34" s="42" t="str"/>
      <x:c r="J34" s="42" t="str"/>
      <x:c r="K34" s="58" t="str">
        <x:v>🕯 Franciscan post-Epiphany Lent — historical Franciscan practice</x:v>
      </x:c>
      <x:c r="L34" s="42" t="str"/>
      <x:c r="M34" s="42" t="str"/>
      <x:c r="N34" s="42" t="str">
        <x:v>https://www.usccb.org/resources/2026cal.pdf
https://www.franciscantradition.org/blog/the-five-lents-of-francis-vjkyuy/</x:v>
      </x:c>
      <x:c r="O34" s="115" t="e">
        <x:f>HYPERLINK("https://bible.usccb.org/bible/readings/020226.cfm","Open official USCCB readings ↗")</x:f>
        <x:v>HYPERLINK is not implemented. linkLocation=https://bible.usccb.org/bible/readings/020226.cfm, friendlyName=Open official USCCB readings ↗</x:v>
      </x:c>
    </x:row>
    <x:row r="35">
      <x:c r="A35" s="40" t="n">
        <x:v>46056</x:v>
      </x:c>
      <x:c r="B35" s="41" t="str">
        <x:v>Tuesday</x:v>
      </x:c>
      <x:c r="C35" s="60" t="str">
        <x:v>Ordinary Time</x:v>
      </x:c>
      <x:c r="D35" s="41" t="str">
        <x:v>Weekday in Ordinary Time</x:v>
      </x:c>
      <x:c r="E35" s="41" t="str">
        <x:v>Weekday</x:v>
      </x:c>
      <x:c r="F35" s="42" t="str">
        <x:v>Saint Blaise; Saint Ansgar [Optional Memorial]</x:v>
      </x:c>
      <x:c r="G35" s="42" t="str">
        <x:v>✦ 🕯</x:v>
      </x:c>
      <x:c r="H35" s="42" t="str"/>
      <x:c r="I35" s="42" t="str"/>
      <x:c r="J35" s="42" t="str"/>
      <x:c r="K35" s="58" t="str">
        <x:v>🕯 Franciscan post-Epiphany Lent — historical Franciscan practice</x:v>
      </x:c>
      <x:c r="L35" s="42" t="str"/>
      <x:c r="M35" s="42" t="str"/>
      <x:c r="N35" s="42" t="str">
        <x:v>https://www.usccb.org/resources/2026cal.pdf
https://www.franciscantradition.org/blog/the-five-lents-of-francis-vjkyuy/</x:v>
      </x:c>
      <x:c r="O35" s="115" t="e">
        <x:f>HYPERLINK("https://bible.usccb.org/bible/readings/020326.cfm","Open official USCCB readings ↗")</x:f>
        <x:v>HYPERLINK is not implemented. linkLocation=https://bible.usccb.org/bible/readings/020326.cfm, friendlyName=Open official USCCB readings ↗</x:v>
      </x:c>
    </x:row>
    <x:row r="36">
      <x:c r="A36" s="40" t="n">
        <x:v>46057</x:v>
      </x:c>
      <x:c r="B36" s="41" t="str">
        <x:v>Wednesday</x:v>
      </x:c>
      <x:c r="C36" s="60" t="str">
        <x:v>Ordinary Time</x:v>
      </x:c>
      <x:c r="D36" s="41" t="str">
        <x:v>Weekday in Ordinary Time</x:v>
      </x:c>
      <x:c r="E36" s="41" t="str">
        <x:v>Weekday</x:v>
      </x:c>
      <x:c r="F36" s="42" t="str"/>
      <x:c r="G36" s="42" t="str">
        <x:v>🕯</x:v>
      </x:c>
      <x:c r="H36" s="42" t="str"/>
      <x:c r="I36" s="42" t="str"/>
      <x:c r="J36" s="42" t="str"/>
      <x:c r="K36" s="58" t="str">
        <x:v>🕯 Franciscan post-Epiphany Lent — historical Franciscan practice</x:v>
      </x:c>
      <x:c r="L36" s="42" t="str"/>
      <x:c r="M36" s="42" t="str"/>
      <x:c r="N36" s="42" t="str">
        <x:v>https://www.usccb.org/resources/2026cal.pdf
https://www.franciscantradition.org/blog/the-five-lents-of-francis-vjkyuy/</x:v>
      </x:c>
      <x:c r="O36" s="115" t="e">
        <x:f>HYPERLINK("https://bible.usccb.org/bible/readings/020426.cfm","Open official USCCB readings ↗")</x:f>
        <x:v>HYPERLINK is not implemented. linkLocation=https://bible.usccb.org/bible/readings/020426.cfm, friendlyName=Open official USCCB readings ↗</x:v>
      </x:c>
    </x:row>
    <x:row r="37">
      <x:c r="A37" s="40" t="n">
        <x:v>46058</x:v>
      </x:c>
      <x:c r="B37" s="41" t="str">
        <x:v>Thursday</x:v>
      </x:c>
      <x:c r="C37" s="60" t="str">
        <x:v>Ordinary Time</x:v>
      </x:c>
      <x:c r="D37" s="41" t="str">
        <x:v>Saint Agatha</x:v>
      </x:c>
      <x:c r="E37" s="41" t="str">
        <x:v>Memorial</x:v>
      </x:c>
      <x:c r="F37" s="42" t="str">
        <x:v>Saint Agatha [Memorial]</x:v>
      </x:c>
      <x:c r="G37" s="42" t="str">
        <x:v>✦ 🕯</x:v>
      </x:c>
      <x:c r="H37" s="42" t="str"/>
      <x:c r="I37" s="42" t="str"/>
      <x:c r="J37" s="42" t="str"/>
      <x:c r="K37" s="58" t="str">
        <x:v>🕯 Franciscan post-Epiphany Lent — historical Franciscan practice</x:v>
      </x:c>
      <x:c r="L37" s="42" t="str"/>
      <x:c r="M37" s="42" t="str"/>
      <x:c r="N37" s="42" t="str">
        <x:v>https://www.usccb.org/resources/2026cal.pdf
https://www.franciscantradition.org/blog/the-five-lents-of-francis-vjkyuy/</x:v>
      </x:c>
      <x:c r="O37" s="115" t="e">
        <x:f>HYPERLINK("https://bible.usccb.org/bible/readings/020526.cfm","Open official USCCB readings ↗")</x:f>
        <x:v>HYPERLINK is not implemented. linkLocation=https://bible.usccb.org/bible/readings/020526.cfm, friendlyName=Open official USCCB readings ↗</x:v>
      </x:c>
    </x:row>
    <x:row r="38">
      <x:c r="A38" s="40" t="n">
        <x:v>46059</x:v>
      </x:c>
      <x:c r="B38" s="41" t="str">
        <x:v>Friday</x:v>
      </x:c>
      <x:c r="C38" s="60" t="str">
        <x:v>Ordinary Time</x:v>
      </x:c>
      <x:c r="D38" s="41" t="str">
        <x:v>Saint Paul Miki and Companions</x:v>
      </x:c>
      <x:c r="E38" s="41" t="str">
        <x:v>Memorial</x:v>
      </x:c>
      <x:c r="F38" s="42" t="str">
        <x:v>Saint Paul Miki and Companions [Memorial]</x:v>
      </x:c>
      <x:c r="G38" s="42" t="str">
        <x:v>✦ 🙏 Ⓟ 🕯</x:v>
      </x:c>
      <x:c r="H38" s="42" t="str"/>
      <x:c r="I38" s="54" t="str">
        <x:v>❤ First Friday — Sacred Heart devotion</x:v>
      </x:c>
      <x:c r="J38" s="56" t="str">
        <x:v>Friday penance — outside Lent, U.S. Catholics may choose an appropriate penitential practice</x:v>
      </x:c>
      <x:c r="K38" s="58" t="str">
        <x:v>🕯 Franciscan post-Epiphany Lent — historical Franciscan practice</x:v>
      </x:c>
      <x:c r="L38" s="42" t="str"/>
      <x:c r="M38" s="42" t="str"/>
      <x:c r="N38" s="42" t="str">
        <x:v>https://www.usccb.org/resources/2026cal.pdf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38" s="115" t="e">
        <x:f>HYPERLINK("https://bible.usccb.org/bible/readings/020626.cfm","Open official USCCB readings ↗")</x:f>
        <x:v>HYPERLINK is not implemented. linkLocation=https://bible.usccb.org/bible/readings/020626.cfm, friendlyName=Open official USCCB readings ↗</x:v>
      </x:c>
    </x:row>
    <x:row r="39">
      <x:c r="A39" s="40" t="n">
        <x:v>46060</x:v>
      </x:c>
      <x:c r="B39" s="41" t="str">
        <x:v>Saturday</x:v>
      </x:c>
      <x:c r="C39" s="60" t="str">
        <x:v>Ordinary Time</x:v>
      </x:c>
      <x:c r="D39" s="41" t="str">
        <x:v>Weekday in Ordinary Time</x:v>
      </x:c>
      <x:c r="E39" s="41" t="str">
        <x:v>Weekday</x:v>
      </x:c>
      <x:c r="F39" s="48" t="str"/>
      <x:c r="G39" s="42" t="str">
        <x:v>🙏 🌹 🕯</x:v>
      </x:c>
      <x:c r="H39" s="42" t="str"/>
      <x:c r="I39" s="54" t="str">
        <x:v>🌹 First Saturday — Immaculate Heart devotion</x:v>
      </x:c>
      <x:c r="J39" s="42" t="str"/>
      <x:c r="K39" s="58" t="str">
        <x:v>🕯 Franciscan post-Epiphany Lent — historical Franciscan practice</x:v>
      </x:c>
      <x:c r="L39" s="42" t="str"/>
      <x:c r="M39" s="42" t="str"/>
      <x:c r="N39" s="42" t="str">
        <x:v>https://www.usccb.org/resources/2026cal.pdf
https://www.ewtn.com/catholicism/library/revelation-of-the-immaculate-heart-at-fatima-in-1917-5465
https://www.franciscantradition.org/blog/the-five-lents-of-francis-vjkyuy/</x:v>
      </x:c>
      <x:c r="O39" s="115" t="e">
        <x:f>HYPERLINK("https://bible.usccb.org/bible/readings/020726.cfm","Open official USCCB readings ↗")</x:f>
        <x:v>HYPERLINK is not implemented. linkLocation=https://bible.usccb.org/bible/readings/020726.cfm, friendlyName=Open official USCCB readings ↗</x:v>
      </x:c>
    </x:row>
    <x:row r="40">
      <x:c r="A40" s="40" t="n">
        <x:v>46061</x:v>
      </x:c>
      <x:c r="B40" s="41" t="str">
        <x:v>Sunday</x:v>
      </x:c>
      <x:c r="C40" s="60" t="str">
        <x:v>Ordinary Time</x:v>
      </x:c>
      <x:c r="D40" s="41" t="str">
        <x:v>Fifth Sunday in Ordinary Time</x:v>
      </x:c>
      <x:c r="E40" s="41" t="str">
        <x:v>Sunday</x:v>
      </x:c>
      <x:c r="F40" s="42" t="str">
        <x:v>Saint Jerome Emiliani; Saint Josephine Bakhita [Optional Memorial]</x:v>
      </x:c>
      <x:c r="G40" s="42" t="str">
        <x:v>✦ ⛪ 🕯</x:v>
      </x:c>
      <x:c r="H40" s="52" t="str">
        <x:v>⛪ Sunday Mass obligation</x:v>
      </x:c>
      <x:c r="I40" s="42" t="str"/>
      <x:c r="J40" s="42" t="str"/>
      <x:c r="K40" s="58" t="str">
        <x:v>🕯 Sexagesima Sunday — historical Roman pre-Lent
🕯 Franciscan post-Epiphany Lent — historical Franciscan practice</x:v>
      </x:c>
      <x:c r="L40" s="42" t="str"/>
      <x:c r="M40" s="42" t="str">
        <x:v>A fixed observance also falls today, but the Sunday or higher-ranking celebration takes liturgical precedence.</x:v>
      </x:c>
      <x:c r="N40" s="42" t="str">
        <x:v>https://www.usccb.org/resources/2026cal.pdf
https://www.usccb.org/beliefs-and-teachings/what-we-believe/canon-law/complementary-norms/canon-1246
https://www.newadvent.org/cathen/13721b.htm
https://www.franciscantradition.org/blog/the-five-lents-of-francis-vjkyuy/</x:v>
      </x:c>
      <x:c r="O40" s="115" t="e">
        <x:f>HYPERLINK("https://bible.usccb.org/bible/readings/020826.cfm","Open official USCCB readings ↗")</x:f>
        <x:v>HYPERLINK is not implemented. linkLocation=https://bible.usccb.org/bible/readings/020826.cfm, friendlyName=Open official USCCB readings ↗</x:v>
      </x:c>
    </x:row>
    <x:row r="41">
      <x:c r="A41" s="40" t="n">
        <x:v>46062</x:v>
      </x:c>
      <x:c r="B41" s="41" t="str">
        <x:v>Monday</x:v>
      </x:c>
      <x:c r="C41" s="60" t="str">
        <x:v>Ordinary Time</x:v>
      </x:c>
      <x:c r="D41" s="41" t="str">
        <x:v>Weekday in Ordinary Time</x:v>
      </x:c>
      <x:c r="E41" s="41" t="str">
        <x:v>Weekday</x:v>
      </x:c>
      <x:c r="F41" s="42" t="str"/>
      <x:c r="G41" s="42" t="str">
        <x:v>🕯</x:v>
      </x:c>
      <x:c r="H41" s="42" t="str"/>
      <x:c r="I41" s="42" t="str"/>
      <x:c r="J41" s="42" t="str"/>
      <x:c r="K41" s="58" t="str">
        <x:v>🕯 Franciscan post-Epiphany Lent — historical Franciscan practice</x:v>
      </x:c>
      <x:c r="L41" s="42" t="str"/>
      <x:c r="M41" s="42" t="str"/>
      <x:c r="N41" s="42" t="str">
        <x:v>https://www.usccb.org/resources/2026cal.pdf
https://www.franciscantradition.org/blog/the-five-lents-of-francis-vjkyuy/</x:v>
      </x:c>
      <x:c r="O41" s="115" t="e">
        <x:f>HYPERLINK("https://bible.usccb.org/bible/readings/020926.cfm","Open official USCCB readings ↗")</x:f>
        <x:v>HYPERLINK is not implemented. linkLocation=https://bible.usccb.org/bible/readings/020926.cfm, friendlyName=Open official USCCB readings ↗</x:v>
      </x:c>
    </x:row>
    <x:row r="42">
      <x:c r="A42" s="40" t="n">
        <x:v>46063</x:v>
      </x:c>
      <x:c r="B42" s="41" t="str">
        <x:v>Tuesday</x:v>
      </x:c>
      <x:c r="C42" s="60" t="str">
        <x:v>Ordinary Time</x:v>
      </x:c>
      <x:c r="D42" s="41" t="str">
        <x:v>Saint Scholastica</x:v>
      </x:c>
      <x:c r="E42" s="41" t="str">
        <x:v>Memorial</x:v>
      </x:c>
      <x:c r="F42" s="42" t="str">
        <x:v>Saint Scholastica [Memorial]</x:v>
      </x:c>
      <x:c r="G42" s="42" t="str">
        <x:v>✦ 🕯</x:v>
      </x:c>
      <x:c r="H42" s="42" t="str"/>
      <x:c r="I42" s="42" t="str"/>
      <x:c r="J42" s="42" t="str"/>
      <x:c r="K42" s="58" t="str">
        <x:v>🕯 Franciscan post-Epiphany Lent — historical Franciscan practice</x:v>
      </x:c>
      <x:c r="L42" s="42" t="str"/>
      <x:c r="M42" s="42" t="str"/>
      <x:c r="N42" s="42" t="str">
        <x:v>https://www.usccb.org/resources/2026cal.pdf
https://www.franciscantradition.org/blog/the-five-lents-of-francis-vjkyuy/</x:v>
      </x:c>
      <x:c r="O42" s="115" t="e">
        <x:f>HYPERLINK("https://bible.usccb.org/bible/readings/021026.cfm","Open official USCCB readings ↗")</x:f>
        <x:v>HYPERLINK is not implemented. linkLocation=https://bible.usccb.org/bible/readings/021026.cfm, friendlyName=Open official USCCB readings ↗</x:v>
      </x:c>
    </x:row>
    <x:row r="43">
      <x:c r="A43" s="40" t="n">
        <x:v>46064</x:v>
      </x:c>
      <x:c r="B43" s="41" t="str">
        <x:v>Wednesday</x:v>
      </x:c>
      <x:c r="C43" s="60" t="str">
        <x:v>Ordinary Time</x:v>
      </x:c>
      <x:c r="D43" s="41" t="str">
        <x:v>Weekday in Ordinary Time</x:v>
      </x:c>
      <x:c r="E43" s="41" t="str">
        <x:v>Weekday</x:v>
      </x:c>
      <x:c r="F43" s="48" t="str">
        <x:v>Our Lady of Lourdes [Optional Memorial]</x:v>
      </x:c>
      <x:c r="G43" s="42" t="str">
        <x:v>🌹 🕯</x:v>
      </x:c>
      <x:c r="H43" s="42" t="str"/>
      <x:c r="I43" s="42" t="str"/>
      <x:c r="J43" s="42" t="str"/>
      <x:c r="K43" s="58" t="str">
        <x:v>🕯 Franciscan post-Epiphany Lent — historical Franciscan practice</x:v>
      </x:c>
      <x:c r="L43" s="42" t="str"/>
      <x:c r="M43" s="42" t="str"/>
      <x:c r="N43" s="42" t="str">
        <x:v>https://www.usccb.org/resources/2026cal.pdf
https://www.franciscantradition.org/blog/the-five-lents-of-francis-vjkyuy/</x:v>
      </x:c>
      <x:c r="O43" s="115" t="e">
        <x:f>HYPERLINK("https://bible.usccb.org/bible/readings/021126.cfm","Open official USCCB readings ↗")</x:f>
        <x:v>HYPERLINK is not implemented. linkLocation=https://bible.usccb.org/bible/readings/021126.cfm, friendlyName=Open official USCCB readings ↗</x:v>
      </x:c>
    </x:row>
    <x:row r="44">
      <x:c r="A44" s="40" t="n">
        <x:v>46065</x:v>
      </x:c>
      <x:c r="B44" s="41" t="str">
        <x:v>Thursday</x:v>
      </x:c>
      <x:c r="C44" s="60" t="str">
        <x:v>Ordinary Time</x:v>
      </x:c>
      <x:c r="D44" s="41" t="str">
        <x:v>Weekday in Ordinary Time</x:v>
      </x:c>
      <x:c r="E44" s="41" t="str">
        <x:v>Weekday</x:v>
      </x:c>
      <x:c r="F44" s="42" t="str"/>
      <x:c r="G44" s="42" t="str">
        <x:v>🕯</x:v>
      </x:c>
      <x:c r="H44" s="42" t="str"/>
      <x:c r="I44" s="42" t="str"/>
      <x:c r="J44" s="42" t="str"/>
      <x:c r="K44" s="58" t="str">
        <x:v>🕯 Franciscan post-Epiphany Lent — historical Franciscan practice</x:v>
      </x:c>
      <x:c r="L44" s="42" t="str"/>
      <x:c r="M44" s="42" t="str"/>
      <x:c r="N44" s="42" t="str">
        <x:v>https://www.usccb.org/resources/2026cal.pdf
https://www.franciscantradition.org/blog/the-five-lents-of-francis-vjkyuy/</x:v>
      </x:c>
      <x:c r="O44" s="115" t="e">
        <x:f>HYPERLINK("https://bible.usccb.org/bible/readings/021226.cfm","Open official USCCB readings ↗")</x:f>
        <x:v>HYPERLINK is not implemented. linkLocation=https://bible.usccb.org/bible/readings/021226.cfm, friendlyName=Open official USCCB readings ↗</x:v>
      </x:c>
    </x:row>
    <x:row r="45">
      <x:c r="A45" s="40" t="n">
        <x:v>46066</x:v>
      </x:c>
      <x:c r="B45" s="41" t="str">
        <x:v>Friday</x:v>
      </x:c>
      <x:c r="C45" s="60" t="str">
        <x:v>Ordinary Time</x:v>
      </x:c>
      <x:c r="D45" s="41" t="str">
        <x:v>Weekday in Ordinary Time</x:v>
      </x:c>
      <x:c r="E45" s="41" t="str">
        <x:v>Weekday</x:v>
      </x:c>
      <x:c r="F45" s="42" t="str"/>
      <x:c r="G45" s="42" t="str">
        <x:v>Ⓟ 🕯</x:v>
      </x:c>
      <x:c r="H45" s="42" t="str"/>
      <x:c r="I45" s="42" t="str"/>
      <x:c r="J45" s="56" t="str">
        <x:v>Friday penance — outside Lent, U.S. Catholics may choose an appropriate penitential practice</x:v>
      </x:c>
      <x:c r="K45" s="58" t="str">
        <x:v>🕯 Franciscan post-Epiphany Lent — historical Franciscan practice</x:v>
      </x:c>
      <x:c r="L45" s="42" t="str"/>
      <x:c r="M45" s="42" t="str"/>
      <x:c r="N45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45" s="115" t="e">
        <x:f>HYPERLINK("https://bible.usccb.org/bible/readings/021326.cfm","Open official USCCB readings ↗")</x:f>
        <x:v>HYPERLINK is not implemented. linkLocation=https://bible.usccb.org/bible/readings/021326.cfm, friendlyName=Open official USCCB readings ↗</x:v>
      </x:c>
    </x:row>
    <x:row r="46">
      <x:c r="A46" s="40" t="n">
        <x:v>46067</x:v>
      </x:c>
      <x:c r="B46" s="41" t="str">
        <x:v>Saturday</x:v>
      </x:c>
      <x:c r="C46" s="60" t="str">
        <x:v>Ordinary Time</x:v>
      </x:c>
      <x:c r="D46" s="41" t="str">
        <x:v>Saints Cyril and Methodius</x:v>
      </x:c>
      <x:c r="E46" s="41" t="str">
        <x:v>Memorial</x:v>
      </x:c>
      <x:c r="F46" s="42" t="str">
        <x:v>Saints Cyril and Methodius [Memorial]</x:v>
      </x:c>
      <x:c r="G46" s="42" t="str">
        <x:v>✦ 🕯</x:v>
      </x:c>
      <x:c r="H46" s="42" t="str"/>
      <x:c r="I46" s="42" t="str"/>
      <x:c r="J46" s="42" t="str"/>
      <x:c r="K46" s="58" t="str">
        <x:v>🕯 Franciscan post-Epiphany Lent — historical Franciscan practice</x:v>
      </x:c>
      <x:c r="L46" s="42" t="str">
        <x:v>Popular tradition: Saint Valentine</x:v>
      </x:c>
      <x:c r="M46" s="42" t="str"/>
      <x:c r="N46" s="42" t="str">
        <x:v>https://www.usccb.org/resources/2026cal.pdf
https://www.franciscantradition.org/blog/the-five-lents-of-francis-vjkyuy/</x:v>
      </x:c>
      <x:c r="O46" s="115" t="e">
        <x:f>HYPERLINK("https://bible.usccb.org/bible/readings/021426.cfm","Open official USCCB readings ↗")</x:f>
        <x:v>HYPERLINK is not implemented. linkLocation=https://bible.usccb.org/bible/readings/021426.cfm, friendlyName=Open official USCCB readings ↗</x:v>
      </x:c>
    </x:row>
    <x:row r="47">
      <x:c r="A47" s="40" t="n">
        <x:v>46068</x:v>
      </x:c>
      <x:c r="B47" s="41" t="str">
        <x:v>Sunday</x:v>
      </x:c>
      <x:c r="C47" s="60" t="str">
        <x:v>Ordinary Time</x:v>
      </x:c>
      <x:c r="D47" s="41" t="str">
        <x:v>Sixth Sunday in Ordinary Time</x:v>
      </x:c>
      <x:c r="E47" s="41" t="str">
        <x:v>Sunday</x:v>
      </x:c>
      <x:c r="F47" s="42" t="str"/>
      <x:c r="G47" s="42" t="str">
        <x:v>⛪ 🕯</x:v>
      </x:c>
      <x:c r="H47" s="52" t="str">
        <x:v>⛪ Sunday Mass obligation</x:v>
      </x:c>
      <x:c r="I47" s="42" t="str"/>
      <x:c r="J47" s="42" t="str"/>
      <x:c r="K47" s="58" t="str">
        <x:v>🕯 Quinquagesima Sunday — historical Roman pre-Lent
🕯 Franciscan post-Epiphany Lent — historical Franciscan practice</x:v>
      </x:c>
      <x:c r="L47" s="42" t="str"/>
      <x:c r="M47" s="42" t="str"/>
      <x:c r="N47" s="42" t="str">
        <x:v>https://www.usccb.org/resources/2026cal.pdf
https://www.usccb.org/beliefs-and-teachings/what-we-believe/canon-law/complementary-norms/canon-1246
https://www.newadvent.org/cathen/13721b.htm
https://www.franciscantradition.org/blog/the-five-lents-of-francis-vjkyuy/</x:v>
      </x:c>
      <x:c r="O47" s="115" t="e">
        <x:f>HYPERLINK("https://bible.usccb.org/bible/readings/021526.cfm","Open official USCCB readings ↗")</x:f>
        <x:v>HYPERLINK is not implemented. linkLocation=https://bible.usccb.org/bible/readings/021526.cfm, friendlyName=Open official USCCB readings ↗</x:v>
      </x:c>
    </x:row>
    <x:row r="48">
      <x:c r="A48" s="40" t="n">
        <x:v>46069</x:v>
      </x:c>
      <x:c r="B48" s="41" t="str">
        <x:v>Monday</x:v>
      </x:c>
      <x:c r="C48" s="60" t="str">
        <x:v>Ordinary Time</x:v>
      </x:c>
      <x:c r="D48" s="41" t="str">
        <x:v>Weekday in Ordinary Time</x:v>
      </x:c>
      <x:c r="E48" s="41" t="str">
        <x:v>Weekday</x:v>
      </x:c>
      <x:c r="F48" s="42" t="str"/>
      <x:c r="G48" s="42" t="str"/>
      <x:c r="H48" s="42" t="str"/>
      <x:c r="I48" s="42" t="str"/>
      <x:c r="J48" s="42" t="str"/>
      <x:c r="K48" s="42" t="str"/>
      <x:c r="L48" s="42" t="str"/>
      <x:c r="M48" s="42" t="str"/>
      <x:c r="N48" s="42" t="str">
        <x:v>https://www.usccb.org/resources/2026cal.pdf</x:v>
      </x:c>
      <x:c r="O48" s="115" t="e">
        <x:f>HYPERLINK("https://bible.usccb.org/bible/readings/021626.cfm","Open official USCCB readings ↗")</x:f>
        <x:v>HYPERLINK is not implemented. linkLocation=https://bible.usccb.org/bible/readings/021626.cfm, friendlyName=Open official USCCB readings ↗</x:v>
      </x:c>
    </x:row>
    <x:row r="49">
      <x:c r="A49" s="40" t="n">
        <x:v>46070</x:v>
      </x:c>
      <x:c r="B49" s="41" t="str">
        <x:v>Tuesday</x:v>
      </x:c>
      <x:c r="C49" s="60" t="str">
        <x:v>Ordinary Time</x:v>
      </x:c>
      <x:c r="D49" s="41" t="str">
        <x:v>Weekday in Ordinary Time</x:v>
      </x:c>
      <x:c r="E49" s="41" t="str">
        <x:v>Weekday</x:v>
      </x:c>
      <x:c r="F49" s="42" t="str">
        <x:v>Seven Holy Founders of the Servite Order [Optional Memorial]</x:v>
      </x:c>
      <x:c r="G49" s="42" t="str">
        <x:v>✦</x:v>
      </x:c>
      <x:c r="H49" s="42" t="str"/>
      <x:c r="I49" s="42" t="str"/>
      <x:c r="J49" s="42" t="str"/>
      <x:c r="K49" s="42" t="str"/>
      <x:c r="L49" s="42" t="str"/>
      <x:c r="M49" s="42" t="str"/>
      <x:c r="N49" s="42" t="str">
        <x:v>https://www.usccb.org/resources/2026cal.pdf</x:v>
      </x:c>
      <x:c r="O49" s="115" t="e">
        <x:f>HYPERLINK("https://bible.usccb.org/bible/readings/021726.cfm","Open official USCCB readings ↗")</x:f>
        <x:v>HYPERLINK is not implemented. linkLocation=https://bible.usccb.org/bible/readings/021726.cfm, friendlyName=Open official USCCB readings ↗</x:v>
      </x:c>
    </x:row>
    <x:row r="50">
      <x:c r="A50" s="40" t="n">
        <x:v>46071</x:v>
      </x:c>
      <x:c r="B50" s="41" t="str">
        <x:v>Wednesday</x:v>
      </x:c>
      <x:c r="C50" s="62" t="str">
        <x:v>Lent</x:v>
      </x:c>
      <x:c r="D50" s="41" t="str">
        <x:v>Ash Wednesday</x:v>
      </x:c>
      <x:c r="E50" s="41" t="str">
        <x:v>Major Day</x:v>
      </x:c>
      <x:c r="F50" s="42" t="str"/>
      <x:c r="G50" s="42" t="str">
        <x:v>✝ Ⓟ</x:v>
      </x:c>
      <x:c r="H50" s="42" t="str"/>
      <x:c r="I50" s="42" t="str"/>
      <x:c r="J50" s="56" t="str">
        <x:v>Ash Wednesday — fast + abstinence</x:v>
      </x:c>
      <x:c r="K50" s="42" t="str"/>
      <x:c r="L50" s="42" t="str"/>
      <x:c r="M50" s="42" t="str"/>
      <x:c r="N50" s="42" t="str">
        <x:v>https://www.usccb.org/resources/2026cal.pdf
https://www.usccb.org/prayer-and-worship/liturgical-year-and-calendar/lent/catholic-information-on-lenten-fast-and-abstinence</x:v>
      </x:c>
      <x:c r="O50" s="115" t="e">
        <x:f>HYPERLINK("https://bible.usccb.org/bible/readings/021826.cfm","Open official USCCB readings ↗")</x:f>
        <x:v>HYPERLINK is not implemented. linkLocation=https://bible.usccb.org/bible/readings/021826.cfm, friendlyName=Open official USCCB readings ↗</x:v>
      </x:c>
    </x:row>
    <x:row r="51">
      <x:c r="A51" s="40" t="n">
        <x:v>46072</x:v>
      </x:c>
      <x:c r="B51" s="41" t="str">
        <x:v>Thursday</x:v>
      </x:c>
      <x:c r="C51" s="62" t="str">
        <x:v>Lent</x:v>
      </x:c>
      <x:c r="D51" s="41" t="str">
        <x:v>Lenten Weekday</x:v>
      </x:c>
      <x:c r="E51" s="41" t="str">
        <x:v>Weekday</x:v>
      </x:c>
      <x:c r="F51" s="42" t="str"/>
      <x:c r="G51" s="42" t="str"/>
      <x:c r="H51" s="42" t="str"/>
      <x:c r="I51" s="42" t="str"/>
      <x:c r="J51" s="42" t="str"/>
      <x:c r="K51" s="42" t="str"/>
      <x:c r="L51" s="42" t="str"/>
      <x:c r="M51" s="42" t="str"/>
      <x:c r="N51" s="42" t="str">
        <x:v>https://www.usccb.org/resources/2026cal.pdf</x:v>
      </x:c>
      <x:c r="O51" s="115" t="e">
        <x:f>HYPERLINK("https://bible.usccb.org/bible/readings/021926.cfm","Open official USCCB readings ↗")</x:f>
        <x:v>HYPERLINK is not implemented. linkLocation=https://bible.usccb.org/bible/readings/021926.cfm, friendlyName=Open official USCCB readings ↗</x:v>
      </x:c>
    </x:row>
    <x:row r="52">
      <x:c r="A52" s="40" t="n">
        <x:v>46073</x:v>
      </x:c>
      <x:c r="B52" s="41" t="str">
        <x:v>Friday</x:v>
      </x:c>
      <x:c r="C52" s="62" t="str">
        <x:v>Lent</x:v>
      </x:c>
      <x:c r="D52" s="41" t="str">
        <x:v>Lenten Weekday</x:v>
      </x:c>
      <x:c r="E52" s="41" t="str">
        <x:v>Weekday</x:v>
      </x:c>
      <x:c r="F52" s="42" t="str"/>
      <x:c r="G52" s="42" t="str">
        <x:v>Ⓟ</x:v>
      </x:c>
      <x:c r="H52" s="42" t="str"/>
      <x:c r="I52" s="42" t="str"/>
      <x:c r="J52" s="56" t="str">
        <x:v>Lenten Friday — abstinence from meat</x:v>
      </x:c>
      <x:c r="K52" s="42" t="str"/>
      <x:c r="L52" s="42" t="str"/>
      <x:c r="M52" s="42" t="str"/>
      <x:c r="N52" s="42" t="str">
        <x:v>https://www.usccb.org/resources/2026cal.pdf
https://www.usccb.org/prayer-and-worship/liturgical-year-and-calendar/lent/catholic-information-on-lenten-fast-and-abstinence</x:v>
      </x:c>
      <x:c r="O52" s="115" t="e">
        <x:f>HYPERLINK("https://bible.usccb.org/bible/readings/022026.cfm","Open official USCCB readings ↗")</x:f>
        <x:v>HYPERLINK is not implemented. linkLocation=https://bible.usccb.org/bible/readings/022026.cfm, friendlyName=Open official USCCB readings ↗</x:v>
      </x:c>
    </x:row>
    <x:row r="53">
      <x:c r="A53" s="40" t="n">
        <x:v>46074</x:v>
      </x:c>
      <x:c r="B53" s="41" t="str">
        <x:v>Saturday</x:v>
      </x:c>
      <x:c r="C53" s="62" t="str">
        <x:v>Lent</x:v>
      </x:c>
      <x:c r="D53" s="41" t="str">
        <x:v>Lenten Weekday</x:v>
      </x:c>
      <x:c r="E53" s="41" t="str">
        <x:v>Weekday</x:v>
      </x:c>
      <x:c r="F53" s="42" t="str">
        <x:v>Saint Peter Damian [Optional Memorial]</x:v>
      </x:c>
      <x:c r="G53" s="42" t="str">
        <x:v>✦</x:v>
      </x:c>
      <x:c r="H53" s="42" t="str"/>
      <x:c r="I53" s="42" t="str"/>
      <x:c r="J53" s="42" t="str"/>
      <x:c r="K53" s="42" t="str"/>
      <x:c r="L53" s="42" t="str"/>
      <x:c r="M53" s="42" t="str"/>
      <x:c r="N53" s="42" t="str">
        <x:v>https://www.usccb.org/resources/2026cal.pdf</x:v>
      </x:c>
      <x:c r="O53" s="115" t="e">
        <x:f>HYPERLINK("https://bible.usccb.org/bible/readings/022126.cfm","Open official USCCB readings ↗")</x:f>
        <x:v>HYPERLINK is not implemented. linkLocation=https://bible.usccb.org/bible/readings/022126.cfm, friendlyName=Open official USCCB readings ↗</x:v>
      </x:c>
    </x:row>
    <x:row r="54">
      <x:c r="A54" s="40" t="n">
        <x:v>46075</x:v>
      </x:c>
      <x:c r="B54" s="41" t="str">
        <x:v>Sunday</x:v>
      </x:c>
      <x:c r="C54" s="62" t="str">
        <x:v>Lent</x:v>
      </x:c>
      <x:c r="D54" s="41" t="str">
        <x:v>First Sunday of Lent</x:v>
      </x:c>
      <x:c r="E54" s="41" t="str">
        <x:v>Sunday</x:v>
      </x:c>
      <x:c r="F54" s="42" t="str">
        <x:v>Chair of Saint Peter, Apostle [Feast]</x:v>
      </x:c>
      <x:c r="G54" s="42" t="str">
        <x:v>★ ✦ ⛪</x:v>
      </x:c>
      <x:c r="H54" s="52" t="str">
        <x:v>⛪ Sunday Mass obligation</x:v>
      </x:c>
      <x:c r="I54" s="42" t="str"/>
      <x:c r="J54" s="42" t="str"/>
      <x:c r="K54" s="42" t="str"/>
      <x:c r="L54" s="42" t="str"/>
      <x:c r="M54" s="42" t="str">
        <x:v>A fixed observance also falls today, but the Sunday or higher-ranking celebration takes liturgical precedence.</x:v>
      </x:c>
      <x:c r="N54" s="42" t="str">
        <x:v>https://www.usccb.org/resources/2026cal.pdf
https://www.usccb.org/beliefs-and-teachings/what-we-believe/canon-law/complementary-norms/canon-1246</x:v>
      </x:c>
      <x:c r="O54" s="115" t="e">
        <x:f>HYPERLINK("https://bible.usccb.org/bible/readings/022226.cfm","Open official USCCB readings ↗")</x:f>
        <x:v>HYPERLINK is not implemented. linkLocation=https://bible.usccb.org/bible/readings/022226.cfm, friendlyName=Open official USCCB readings ↗</x:v>
      </x:c>
    </x:row>
    <x:row r="55">
      <x:c r="A55" s="40" t="n">
        <x:v>46076</x:v>
      </x:c>
      <x:c r="B55" s="41" t="str">
        <x:v>Monday</x:v>
      </x:c>
      <x:c r="C55" s="62" t="str">
        <x:v>Lent</x:v>
      </x:c>
      <x:c r="D55" s="41" t="str">
        <x:v>Lenten Weekday</x:v>
      </x:c>
      <x:c r="E55" s="41" t="str">
        <x:v>Weekday</x:v>
      </x:c>
      <x:c r="F55" s="42" t="str">
        <x:v>Saint Polycarp [Memorial]</x:v>
      </x:c>
      <x:c r="G55" s="42" t="str">
        <x:v>✦</x:v>
      </x:c>
      <x:c r="H55" s="42" t="str"/>
      <x:c r="I55" s="42" t="str"/>
      <x:c r="J55" s="42" t="str"/>
      <x:c r="K55" s="42" t="str"/>
      <x:c r="L55" s="42" t="str"/>
      <x:c r="M55" s="42" t="str"/>
      <x:c r="N55" s="42" t="str">
        <x:v>https://www.usccb.org/resources/2026cal.pdf</x:v>
      </x:c>
      <x:c r="O55" s="115" t="e">
        <x:f>HYPERLINK("https://bible.usccb.org/bible/readings/022326.cfm","Open official USCCB readings ↗")</x:f>
        <x:v>HYPERLINK is not implemented. linkLocation=https://bible.usccb.org/bible/readings/022326.cfm, friendlyName=Open official USCCB readings ↗</x:v>
      </x:c>
    </x:row>
    <x:row r="56">
      <x:c r="A56" s="40" t="n">
        <x:v>46077</x:v>
      </x:c>
      <x:c r="B56" s="41" t="str">
        <x:v>Tuesday</x:v>
      </x:c>
      <x:c r="C56" s="62" t="str">
        <x:v>Lent</x:v>
      </x:c>
      <x:c r="D56" s="41" t="str">
        <x:v>Lenten Weekday</x:v>
      </x:c>
      <x:c r="E56" s="41" t="str">
        <x:v>Weekday</x:v>
      </x:c>
      <x:c r="F56" s="42" t="str"/>
      <x:c r="G56" s="42" t="str"/>
      <x:c r="H56" s="42" t="str"/>
      <x:c r="I56" s="42" t="str"/>
      <x:c r="J56" s="42" t="str"/>
      <x:c r="K56" s="42" t="str"/>
      <x:c r="L56" s="42" t="str"/>
      <x:c r="M56" s="42" t="str"/>
      <x:c r="N56" s="42" t="str">
        <x:v>https://www.usccb.org/resources/2026cal.pdf</x:v>
      </x:c>
      <x:c r="O56" s="115" t="e">
        <x:f>HYPERLINK("https://bible.usccb.org/bible/readings/022426.cfm","Open official USCCB readings ↗")</x:f>
        <x:v>HYPERLINK is not implemented. linkLocation=https://bible.usccb.org/bible/readings/022426.cfm, friendlyName=Open official USCCB readings ↗</x:v>
      </x:c>
    </x:row>
    <x:row r="57">
      <x:c r="A57" s="40" t="n">
        <x:v>46078</x:v>
      </x:c>
      <x:c r="B57" s="41" t="str">
        <x:v>Wednesday</x:v>
      </x:c>
      <x:c r="C57" s="62" t="str">
        <x:v>Lent</x:v>
      </x:c>
      <x:c r="D57" s="41" t="str">
        <x:v>Lenten Weekday</x:v>
      </x:c>
      <x:c r="E57" s="41" t="str">
        <x:v>Weekday</x:v>
      </x:c>
      <x:c r="F57" s="42" t="str"/>
      <x:c r="G57" s="42" t="str">
        <x:v>🕯</x:v>
      </x:c>
      <x:c r="H57" s="42" t="str"/>
      <x:c r="I57" s="42" t="str"/>
      <x:c r="J57" s="42" t="str"/>
      <x:c r="K57" s="58" t="str">
        <x:v>🕯 Traditional Ember Day</x:v>
      </x:c>
      <x:c r="L57" s="42" t="str"/>
      <x:c r="M57" s="42" t="str"/>
      <x:c r="N57" s="42" t="str">
        <x:v>https://www.usccb.org/resources/2026cal.pdf
https://www.newadvent.org/cathen/05399b.htm</x:v>
      </x:c>
      <x:c r="O57" s="115" t="e">
        <x:f>HYPERLINK("https://bible.usccb.org/bible/readings/022526.cfm","Open official USCCB readings ↗")</x:f>
        <x:v>HYPERLINK is not implemented. linkLocation=https://bible.usccb.org/bible/readings/022526.cfm, friendlyName=Open official USCCB readings ↗</x:v>
      </x:c>
    </x:row>
    <x:row r="58">
      <x:c r="A58" s="40" t="n">
        <x:v>46079</x:v>
      </x:c>
      <x:c r="B58" s="41" t="str">
        <x:v>Thursday</x:v>
      </x:c>
      <x:c r="C58" s="62" t="str">
        <x:v>Lent</x:v>
      </x:c>
      <x:c r="D58" s="41" t="str">
        <x:v>Lenten Weekday</x:v>
      </x:c>
      <x:c r="E58" s="41" t="str">
        <x:v>Weekday</x:v>
      </x:c>
      <x:c r="F58" s="42" t="str"/>
      <x:c r="G58" s="42" t="str"/>
      <x:c r="H58" s="42" t="str"/>
      <x:c r="I58" s="42" t="str"/>
      <x:c r="J58" s="42" t="str"/>
      <x:c r="K58" s="42" t="str"/>
      <x:c r="L58" s="42" t="str"/>
      <x:c r="M58" s="42" t="str"/>
      <x:c r="N58" s="42" t="str">
        <x:v>https://www.usccb.org/resources/2026cal.pdf</x:v>
      </x:c>
      <x:c r="O58" s="115" t="e">
        <x:f>HYPERLINK("https://bible.usccb.org/bible/readings/022626.cfm","Open official USCCB readings ↗")</x:f>
        <x:v>HYPERLINK is not implemented. linkLocation=https://bible.usccb.org/bible/readings/022626.cfm, friendlyName=Open official USCCB readings ↗</x:v>
      </x:c>
    </x:row>
    <x:row r="59">
      <x:c r="A59" s="40" t="n">
        <x:v>46080</x:v>
      </x:c>
      <x:c r="B59" s="41" t="str">
        <x:v>Friday</x:v>
      </x:c>
      <x:c r="C59" s="62" t="str">
        <x:v>Lent</x:v>
      </x:c>
      <x:c r="D59" s="41" t="str">
        <x:v>Lenten Weekday</x:v>
      </x:c>
      <x:c r="E59" s="41" t="str">
        <x:v>Weekday</x:v>
      </x:c>
      <x:c r="F59" s="42" t="str">
        <x:v>Saint Gregory of Narek [Optional Memorial]</x:v>
      </x:c>
      <x:c r="G59" s="42" t="str">
        <x:v>✦ Ⓟ 🕯</x:v>
      </x:c>
      <x:c r="H59" s="42" t="str"/>
      <x:c r="I59" s="42" t="str"/>
      <x:c r="J59" s="56" t="str">
        <x:v>Lenten Friday — abstinence from meat</x:v>
      </x:c>
      <x:c r="K59" s="58" t="str">
        <x:v>🕯 Traditional Ember Day</x:v>
      </x:c>
      <x:c r="L59" s="42" t="str"/>
      <x:c r="M59" s="42" t="str"/>
      <x:c r="N59" s="42" t="str">
        <x:v>https://www.usccb.org/resources/2026cal.pdf
https://www.usccb.org/prayer-and-worship/liturgical-year-and-calendar/lent/catholic-information-on-lenten-fast-and-abstinence
https://www.newadvent.org/cathen/05399b.htm</x:v>
      </x:c>
      <x:c r="O59" s="115" t="e">
        <x:f>HYPERLINK("https://bible.usccb.org/bible/readings/022726.cfm","Open official USCCB readings ↗")</x:f>
        <x:v>HYPERLINK is not implemented. linkLocation=https://bible.usccb.org/bible/readings/022726.cfm, friendlyName=Open official USCCB readings ↗</x:v>
      </x:c>
    </x:row>
    <x:row r="60">
      <x:c r="A60" s="40" t="n">
        <x:v>46081</x:v>
      </x:c>
      <x:c r="B60" s="41" t="str">
        <x:v>Saturday</x:v>
      </x:c>
      <x:c r="C60" s="62" t="str">
        <x:v>Lent</x:v>
      </x:c>
      <x:c r="D60" s="41" t="str">
        <x:v>Lenten Weekday</x:v>
      </x:c>
      <x:c r="E60" s="41" t="str">
        <x:v>Weekday</x:v>
      </x:c>
      <x:c r="F60" s="42" t="str"/>
      <x:c r="G60" s="42" t="str">
        <x:v>🕯</x:v>
      </x:c>
      <x:c r="H60" s="42" t="str"/>
      <x:c r="I60" s="42" t="str"/>
      <x:c r="J60" s="42" t="str"/>
      <x:c r="K60" s="58" t="str">
        <x:v>🕯 Traditional Ember Day</x:v>
      </x:c>
      <x:c r="L60" s="42" t="str"/>
      <x:c r="M60" s="42" t="str"/>
      <x:c r="N60" s="42" t="str">
        <x:v>https://www.usccb.org/resources/2026cal.pdf
https://www.newadvent.org/cathen/05399b.htm</x:v>
      </x:c>
      <x:c r="O60" s="115" t="e">
        <x:f>HYPERLINK("https://bible.usccb.org/bible/readings/022826.cfm","Open official USCCB readings ↗")</x:f>
        <x:v>HYPERLINK is not implemented. linkLocation=https://bible.usccb.org/bible/readings/022826.cfm, friendlyName=Open official USCCB readings ↗</x:v>
      </x:c>
    </x:row>
    <x:row r="61">
      <x:c r="A61" s="40" t="n">
        <x:v>46082</x:v>
      </x:c>
      <x:c r="B61" s="41" t="str">
        <x:v>Sunday</x:v>
      </x:c>
      <x:c r="C61" s="62" t="str">
        <x:v>Lent</x:v>
      </x:c>
      <x:c r="D61" s="41" t="str">
        <x:v>Second Sunday of Lent</x:v>
      </x:c>
      <x:c r="E61" s="41" t="str">
        <x:v>Sunday</x:v>
      </x:c>
      <x:c r="F61" s="42" t="str"/>
      <x:c r="G61" s="42" t="str">
        <x:v>⛪</x:v>
      </x:c>
      <x:c r="H61" s="52" t="str">
        <x:v>⛪ Sunday Mass obligation</x:v>
      </x:c>
      <x:c r="I61" s="42" t="str"/>
      <x:c r="J61" s="42" t="str"/>
      <x:c r="K61" s="42" t="str"/>
      <x:c r="L61" s="42" t="str"/>
      <x:c r="M61" s="42" t="str"/>
      <x:c r="N61" s="42" t="str">
        <x:v>https://www.usccb.org/resources/2026cal.pdf
https://www.usccb.org/beliefs-and-teachings/what-we-believe/canon-law/complementary-norms/canon-1246</x:v>
      </x:c>
      <x:c r="O61" s="115" t="e">
        <x:f>HYPERLINK("https://bible.usccb.org/bible/readings/030126.cfm","Open official USCCB readings ↗")</x:f>
        <x:v>HYPERLINK is not implemented. linkLocation=https://bible.usccb.org/bible/readings/030126.cfm, friendlyName=Open official USCCB readings ↗</x:v>
      </x:c>
    </x:row>
    <x:row r="62">
      <x:c r="A62" s="40" t="n">
        <x:v>46083</x:v>
      </x:c>
      <x:c r="B62" s="41" t="str">
        <x:v>Monday</x:v>
      </x:c>
      <x:c r="C62" s="62" t="str">
        <x:v>Lent</x:v>
      </x:c>
      <x:c r="D62" s="41" t="str">
        <x:v>Lenten Weekday</x:v>
      </x:c>
      <x:c r="E62" s="41" t="str">
        <x:v>Weekday</x:v>
      </x:c>
      <x:c r="F62" s="42" t="str"/>
      <x:c r="G62" s="42" t="str"/>
      <x:c r="H62" s="42" t="str"/>
      <x:c r="I62" s="42" t="str"/>
      <x:c r="J62" s="42" t="str"/>
      <x:c r="K62" s="42" t="str"/>
      <x:c r="L62" s="42" t="str"/>
      <x:c r="M62" s="42" t="str"/>
      <x:c r="N62" s="42" t="str">
        <x:v>https://www.usccb.org/resources/2026cal.pdf</x:v>
      </x:c>
      <x:c r="O62" s="115" t="e">
        <x:f>HYPERLINK("https://bible.usccb.org/bible/readings/030226.cfm","Open official USCCB readings ↗")</x:f>
        <x:v>HYPERLINK is not implemented. linkLocation=https://bible.usccb.org/bible/readings/030226.cfm, friendlyName=Open official USCCB readings ↗</x:v>
      </x:c>
    </x:row>
    <x:row r="63">
      <x:c r="A63" s="40" t="n">
        <x:v>46084</x:v>
      </x:c>
      <x:c r="B63" s="41" t="str">
        <x:v>Tuesday</x:v>
      </x:c>
      <x:c r="C63" s="62" t="str">
        <x:v>Lent</x:v>
      </x:c>
      <x:c r="D63" s="41" t="str">
        <x:v>Lenten Weekday</x:v>
      </x:c>
      <x:c r="E63" s="41" t="str">
        <x:v>Weekday</x:v>
      </x:c>
      <x:c r="F63" s="42" t="str">
        <x:v>Saint Katharine Drexel [Optional Memorial]</x:v>
      </x:c>
      <x:c r="G63" s="42" t="str">
        <x:v>✦</x:v>
      </x:c>
      <x:c r="H63" s="42" t="str"/>
      <x:c r="I63" s="42" t="str"/>
      <x:c r="J63" s="42" t="str"/>
      <x:c r="K63" s="42" t="str"/>
      <x:c r="L63" s="42" t="str"/>
      <x:c r="M63" s="42" t="str"/>
      <x:c r="N63" s="42" t="str">
        <x:v>https://www.usccb.org/resources/2026cal.pdf</x:v>
      </x:c>
      <x:c r="O63" s="115" t="e">
        <x:f>HYPERLINK("https://bible.usccb.org/bible/readings/030326.cfm","Open official USCCB readings ↗")</x:f>
        <x:v>HYPERLINK is not implemented. linkLocation=https://bible.usccb.org/bible/readings/030326.cfm, friendlyName=Open official USCCB readings ↗</x:v>
      </x:c>
    </x:row>
    <x:row r="64">
      <x:c r="A64" s="40" t="n">
        <x:v>46085</x:v>
      </x:c>
      <x:c r="B64" s="41" t="str">
        <x:v>Wednesday</x:v>
      </x:c>
      <x:c r="C64" s="62" t="str">
        <x:v>Lent</x:v>
      </x:c>
      <x:c r="D64" s="41" t="str">
        <x:v>Lenten Weekday</x:v>
      </x:c>
      <x:c r="E64" s="41" t="str">
        <x:v>Weekday</x:v>
      </x:c>
      <x:c r="F64" s="42" t="str">
        <x:v>Saint Casimir [Optional Memorial]</x:v>
      </x:c>
      <x:c r="G64" s="42" t="str">
        <x:v>✦</x:v>
      </x:c>
      <x:c r="H64" s="42" t="str"/>
      <x:c r="I64" s="42" t="str"/>
      <x:c r="J64" s="42" t="str"/>
      <x:c r="K64" s="42" t="str"/>
      <x:c r="L64" s="42" t="str"/>
      <x:c r="M64" s="42" t="str"/>
      <x:c r="N64" s="42" t="str">
        <x:v>https://www.usccb.org/resources/2026cal.pdf</x:v>
      </x:c>
      <x:c r="O64" s="115" t="e">
        <x:f>HYPERLINK("https://bible.usccb.org/bible/readings/030426.cfm","Open official USCCB readings ↗")</x:f>
        <x:v>HYPERLINK is not implemented. linkLocation=https://bible.usccb.org/bible/readings/030426.cfm, friendlyName=Open official USCCB readings ↗</x:v>
      </x:c>
    </x:row>
    <x:row r="65">
      <x:c r="A65" s="40" t="n">
        <x:v>46086</x:v>
      </x:c>
      <x:c r="B65" s="41" t="str">
        <x:v>Thursday</x:v>
      </x:c>
      <x:c r="C65" s="62" t="str">
        <x:v>Lent</x:v>
      </x:c>
      <x:c r="D65" s="41" t="str">
        <x:v>Lenten Weekday</x:v>
      </x:c>
      <x:c r="E65" s="41" t="str">
        <x:v>Weekday</x:v>
      </x:c>
      <x:c r="F65" s="42" t="str"/>
      <x:c r="G65" s="42" t="str"/>
      <x:c r="H65" s="42" t="str"/>
      <x:c r="I65" s="42" t="str"/>
      <x:c r="J65" s="42" t="str"/>
      <x:c r="K65" s="42" t="str"/>
      <x:c r="L65" s="42" t="str"/>
      <x:c r="M65" s="42" t="str"/>
      <x:c r="N65" s="42" t="str">
        <x:v>https://www.usccb.org/resources/2026cal.pdf</x:v>
      </x:c>
      <x:c r="O65" s="115" t="e">
        <x:f>HYPERLINK("https://bible.usccb.org/bible/readings/030526.cfm","Open official USCCB readings ↗")</x:f>
        <x:v>HYPERLINK is not implemented. linkLocation=https://bible.usccb.org/bible/readings/030526.cfm, friendlyName=Open official USCCB readings ↗</x:v>
      </x:c>
    </x:row>
    <x:row r="66">
      <x:c r="A66" s="40" t="n">
        <x:v>46087</x:v>
      </x:c>
      <x:c r="B66" s="41" t="str">
        <x:v>Friday</x:v>
      </x:c>
      <x:c r="C66" s="62" t="str">
        <x:v>Lent</x:v>
      </x:c>
      <x:c r="D66" s="41" t="str">
        <x:v>Lenten Weekday</x:v>
      </x:c>
      <x:c r="E66" s="41" t="str">
        <x:v>Weekday</x:v>
      </x:c>
      <x:c r="F66" s="42" t="str"/>
      <x:c r="G66" s="42" t="str">
        <x:v>🙏 Ⓟ</x:v>
      </x:c>
      <x:c r="H66" s="42" t="str"/>
      <x:c r="I66" s="54" t="str">
        <x:v>❤ First Friday — Sacred Heart devotion</x:v>
      </x:c>
      <x:c r="J66" s="56" t="str">
        <x:v>Lenten Friday — abstinence from meat</x:v>
      </x:c>
      <x:c r="K66" s="42" t="str"/>
      <x:c r="L66" s="42" t="str"/>
      <x:c r="M66" s="42" t="str"/>
      <x:c r="N66" s="42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66" s="115" t="e">
        <x:f>HYPERLINK("https://bible.usccb.org/bible/readings/030626.cfm","Open official USCCB readings ↗")</x:f>
        <x:v>HYPERLINK is not implemented. linkLocation=https://bible.usccb.org/bible/readings/030626.cfm, friendlyName=Open official USCCB readings ↗</x:v>
      </x:c>
    </x:row>
    <x:row r="67">
      <x:c r="A67" s="40" t="n">
        <x:v>46088</x:v>
      </x:c>
      <x:c r="B67" s="41" t="str">
        <x:v>Saturday</x:v>
      </x:c>
      <x:c r="C67" s="62" t="str">
        <x:v>Lent</x:v>
      </x:c>
      <x:c r="D67" s="41" t="str">
        <x:v>Lenten Weekday</x:v>
      </x:c>
      <x:c r="E67" s="41" t="str">
        <x:v>Weekday</x:v>
      </x:c>
      <x:c r="F67" s="48" t="str">
        <x:v>Saints Perpetua and Felicity [Memorial]</x:v>
      </x:c>
      <x:c r="G67" s="42" t="str">
        <x:v>✦ 🙏 🌹</x:v>
      </x:c>
      <x:c r="H67" s="42" t="str"/>
      <x:c r="I67" s="54" t="str">
        <x:v>🌹 First Saturday — Immaculate Heart devotion</x:v>
      </x:c>
      <x:c r="J67" s="42" t="str"/>
      <x:c r="K67" s="42" t="str"/>
      <x:c r="L67" s="42" t="str"/>
      <x:c r="M67" s="42" t="str"/>
      <x:c r="N67" s="42" t="str">
        <x:v>https://www.usccb.org/resources/2026cal.pdf
https://www.ewtn.com/catholicism/library/revelation-of-the-immaculate-heart-at-fatima-in-1917-5465</x:v>
      </x:c>
      <x:c r="O67" s="115" t="e">
        <x:f>HYPERLINK("https://bible.usccb.org/bible/readings/030726.cfm","Open official USCCB readings ↗")</x:f>
        <x:v>HYPERLINK is not implemented. linkLocation=https://bible.usccb.org/bible/readings/030726.cfm, friendlyName=Open official USCCB readings ↗</x:v>
      </x:c>
    </x:row>
    <x:row r="68">
      <x:c r="A68" s="40" t="n">
        <x:v>46089</x:v>
      </x:c>
      <x:c r="B68" s="41" t="str">
        <x:v>Sunday</x:v>
      </x:c>
      <x:c r="C68" s="62" t="str">
        <x:v>Lent</x:v>
      </x:c>
      <x:c r="D68" s="41" t="str">
        <x:v>Third Sunday of Lent</x:v>
      </x:c>
      <x:c r="E68" s="41" t="str">
        <x:v>Sunday</x:v>
      </x:c>
      <x:c r="F68" s="42" t="str">
        <x:v>Saint John of God [Optional Memorial]</x:v>
      </x:c>
      <x:c r="G68" s="42" t="str">
        <x:v>✦ ⛪</x:v>
      </x:c>
      <x:c r="H68" s="52" t="str">
        <x:v>⛪ Sunday Mass obligation</x:v>
      </x:c>
      <x:c r="I68" s="42" t="str"/>
      <x:c r="J68" s="42" t="str"/>
      <x:c r="K68" s="42" t="str"/>
      <x:c r="L68" s="42" t="str"/>
      <x:c r="M68" s="42" t="str">
        <x:v>A fixed observance also falls today, but the Sunday or higher-ranking celebration takes liturgical precedence.</x:v>
      </x:c>
      <x:c r="N68" s="42" t="str">
        <x:v>https://www.usccb.org/resources/2026cal.pdf
https://www.usccb.org/beliefs-and-teachings/what-we-believe/canon-law/complementary-norms/canon-1246</x:v>
      </x:c>
      <x:c r="O68" s="115" t="e">
        <x:f>HYPERLINK("https://bible.usccb.org/bible/readings/030826.cfm","Open official USCCB readings ↗")</x:f>
        <x:v>HYPERLINK is not implemented. linkLocation=https://bible.usccb.org/bible/readings/030826.cfm, friendlyName=Open official USCCB readings ↗</x:v>
      </x:c>
    </x:row>
    <x:row r="69">
      <x:c r="A69" s="40" t="n">
        <x:v>46090</x:v>
      </x:c>
      <x:c r="B69" s="41" t="str">
        <x:v>Monday</x:v>
      </x:c>
      <x:c r="C69" s="62" t="str">
        <x:v>Lent</x:v>
      </x:c>
      <x:c r="D69" s="41" t="str">
        <x:v>Lenten Weekday</x:v>
      </x:c>
      <x:c r="E69" s="41" t="str">
        <x:v>Weekday</x:v>
      </x:c>
      <x:c r="F69" s="42" t="str">
        <x:v>Saint Frances of Rome [Optional Memorial]</x:v>
      </x:c>
      <x:c r="G69" s="42" t="str">
        <x:v>✦</x:v>
      </x:c>
      <x:c r="H69" s="42" t="str"/>
      <x:c r="I69" s="42" t="str"/>
      <x:c r="J69" s="42" t="str"/>
      <x:c r="K69" s="42" t="str"/>
      <x:c r="L69" s="42" t="str"/>
      <x:c r="M69" s="42" t="str"/>
      <x:c r="N69" s="42" t="str">
        <x:v>https://www.usccb.org/resources/2026cal.pdf</x:v>
      </x:c>
      <x:c r="O69" s="115" t="e">
        <x:f>HYPERLINK("https://bible.usccb.org/bible/readings/030926.cfm","Open official USCCB readings ↗")</x:f>
        <x:v>HYPERLINK is not implemented. linkLocation=https://bible.usccb.org/bible/readings/030926.cfm, friendlyName=Open official USCCB readings ↗</x:v>
      </x:c>
    </x:row>
    <x:row r="70">
      <x:c r="A70" s="40" t="n">
        <x:v>46091</x:v>
      </x:c>
      <x:c r="B70" s="41" t="str">
        <x:v>Tuesday</x:v>
      </x:c>
      <x:c r="C70" s="62" t="str">
        <x:v>Lent</x:v>
      </x:c>
      <x:c r="D70" s="41" t="str">
        <x:v>Lenten Weekday</x:v>
      </x:c>
      <x:c r="E70" s="41" t="str">
        <x:v>Weekday</x:v>
      </x:c>
      <x:c r="F70" s="42" t="str"/>
      <x:c r="G70" s="42" t="str">
        <x:v>🙏</x:v>
      </x:c>
      <x:c r="H70" s="42" t="str"/>
      <x:c r="I70" s="54" t="str">
        <x:v>🙏 Novena for Saint Joseph — Day 1/9 [START]</x:v>
      </x:c>
      <x:c r="J70" s="42" t="str"/>
      <x:c r="K70" s="42" t="str"/>
      <x:c r="L70" s="42" t="str"/>
      <x:c r="M70" s="42" t="str"/>
      <x:c r="N70" s="42" t="str">
        <x:v>https://www.usccb.org/resources/2026cal.pdf
https://www.usccb.org/prayer-and-worship/prayers-and-devotions/prayers/novena-for-the-solemnity-of-saint-joseph</x:v>
      </x:c>
      <x:c r="O70" s="115" t="e">
        <x:f>HYPERLINK("https://bible.usccb.org/bible/readings/031026.cfm","Open official USCCB readings ↗")</x:f>
        <x:v>HYPERLINK is not implemented. linkLocation=https://bible.usccb.org/bible/readings/031026.cfm, friendlyName=Open official USCCB readings ↗</x:v>
      </x:c>
    </x:row>
    <x:row r="71">
      <x:c r="A71" s="40" t="n">
        <x:v>46092</x:v>
      </x:c>
      <x:c r="B71" s="41" t="str">
        <x:v>Wednesday</x:v>
      </x:c>
      <x:c r="C71" s="62" t="str">
        <x:v>Lent</x:v>
      </x:c>
      <x:c r="D71" s="41" t="str">
        <x:v>Lenten Weekday</x:v>
      </x:c>
      <x:c r="E71" s="41" t="str">
        <x:v>Weekday</x:v>
      </x:c>
      <x:c r="F71" s="42" t="str"/>
      <x:c r="G71" s="42" t="str">
        <x:v>🙏</x:v>
      </x:c>
      <x:c r="H71" s="42" t="str"/>
      <x:c r="I71" s="54" t="str">
        <x:v>🙏 Novena for Saint Joseph — Day 2/9</x:v>
      </x:c>
      <x:c r="J71" s="42" t="str"/>
      <x:c r="K71" s="42" t="str"/>
      <x:c r="L71" s="42" t="str"/>
      <x:c r="M71" s="42" t="str"/>
      <x:c r="N71" s="42" t="str">
        <x:v>https://www.usccb.org/resources/2026cal.pdf
https://www.usccb.org/prayer-and-worship/prayers-and-devotions/prayers/novena-for-the-solemnity-of-saint-joseph</x:v>
      </x:c>
      <x:c r="O71" s="115" t="e">
        <x:f>HYPERLINK("https://bible.usccb.org/bible/readings/031126.cfm","Open official USCCB readings ↗")</x:f>
        <x:v>HYPERLINK is not implemented. linkLocation=https://bible.usccb.org/bible/readings/031126.cfm, friendlyName=Open official USCCB readings ↗</x:v>
      </x:c>
    </x:row>
    <x:row r="72">
      <x:c r="A72" s="40" t="n">
        <x:v>46093</x:v>
      </x:c>
      <x:c r="B72" s="41" t="str">
        <x:v>Thursday</x:v>
      </x:c>
      <x:c r="C72" s="62" t="str">
        <x:v>Lent</x:v>
      </x:c>
      <x:c r="D72" s="41" t="str">
        <x:v>Lenten Weekday</x:v>
      </x:c>
      <x:c r="E72" s="41" t="str">
        <x:v>Weekday</x:v>
      </x:c>
      <x:c r="F72" s="42" t="str"/>
      <x:c r="G72" s="42" t="str">
        <x:v>🙏</x:v>
      </x:c>
      <x:c r="H72" s="42" t="str"/>
      <x:c r="I72" s="54" t="str">
        <x:v>🙏 Novena for Saint Joseph — Day 3/9</x:v>
      </x:c>
      <x:c r="J72" s="42" t="str"/>
      <x:c r="K72" s="42" t="str"/>
      <x:c r="L72" s="42" t="str"/>
      <x:c r="M72" s="42" t="str"/>
      <x:c r="N72" s="42" t="str">
        <x:v>https://www.usccb.org/resources/2026cal.pdf
https://www.usccb.org/prayer-and-worship/prayers-and-devotions/prayers/novena-for-the-solemnity-of-saint-joseph</x:v>
      </x:c>
      <x:c r="O72" s="115" t="e">
        <x:f>HYPERLINK("https://bible.usccb.org/bible/readings/031226.cfm","Open official USCCB readings ↗")</x:f>
        <x:v>HYPERLINK is not implemented. linkLocation=https://bible.usccb.org/bible/readings/031226.cfm, friendlyName=Open official USCCB readings ↗</x:v>
      </x:c>
    </x:row>
    <x:row r="73">
      <x:c r="A73" s="40" t="n">
        <x:v>46094</x:v>
      </x:c>
      <x:c r="B73" s="41" t="str">
        <x:v>Friday</x:v>
      </x:c>
      <x:c r="C73" s="62" t="str">
        <x:v>Lent</x:v>
      </x:c>
      <x:c r="D73" s="41" t="str">
        <x:v>Lenten Weekday</x:v>
      </x:c>
      <x:c r="E73" s="41" t="str">
        <x:v>Weekday</x:v>
      </x:c>
      <x:c r="F73" s="42" t="str"/>
      <x:c r="G73" s="42" t="str">
        <x:v>🙏 Ⓟ</x:v>
      </x:c>
      <x:c r="H73" s="42" t="str"/>
      <x:c r="I73" s="54" t="str">
        <x:v>🙏 Novena for Saint Joseph — Day 4/9</x:v>
      </x:c>
      <x:c r="J73" s="56" t="str">
        <x:v>Lenten Friday — abstinence from meat</x:v>
      </x:c>
      <x:c r="K73" s="42" t="str"/>
      <x:c r="L73" s="42" t="str"/>
      <x:c r="M73" s="42" t="str"/>
      <x:c r="N73" s="42" t="str">
        <x:v>https://www.usccb.org/resources/2026cal.pdf
https://www.usccb.org/prayer-and-worship/prayers-and-devotions/prayers/novena-for-the-solemnity-of-saint-joseph
https://www.usccb.org/prayer-and-worship/liturgical-year-and-calendar/lent/catholic-information-on-lenten-fast-and-abstinence</x:v>
      </x:c>
      <x:c r="O73" s="115" t="e">
        <x:f>HYPERLINK("https://bible.usccb.org/bible/readings/031326.cfm","Open official USCCB readings ↗")</x:f>
        <x:v>HYPERLINK is not implemented. linkLocation=https://bible.usccb.org/bible/readings/031326.cfm, friendlyName=Open official USCCB readings ↗</x:v>
      </x:c>
    </x:row>
    <x:row r="74">
      <x:c r="A74" s="40" t="n">
        <x:v>46095</x:v>
      </x:c>
      <x:c r="B74" s="41" t="str">
        <x:v>Saturday</x:v>
      </x:c>
      <x:c r="C74" s="62" t="str">
        <x:v>Lent</x:v>
      </x:c>
      <x:c r="D74" s="41" t="str">
        <x:v>Lenten Weekday</x:v>
      </x:c>
      <x:c r="E74" s="41" t="str">
        <x:v>Weekday</x:v>
      </x:c>
      <x:c r="F74" s="42" t="str"/>
      <x:c r="G74" s="42" t="str">
        <x:v>🙏</x:v>
      </x:c>
      <x:c r="H74" s="42" t="str"/>
      <x:c r="I74" s="54" t="str">
        <x:v>🙏 Novena for Saint Joseph — Day 5/9</x:v>
      </x:c>
      <x:c r="J74" s="42" t="str"/>
      <x:c r="K74" s="42" t="str"/>
      <x:c r="L74" s="42" t="str"/>
      <x:c r="M74" s="42" t="str"/>
      <x:c r="N74" s="42" t="str">
        <x:v>https://www.usccb.org/resources/2026cal.pdf
https://www.usccb.org/prayer-and-worship/prayers-and-devotions/prayers/novena-for-the-solemnity-of-saint-joseph</x:v>
      </x:c>
      <x:c r="O74" s="115" t="e">
        <x:f>HYPERLINK("https://bible.usccb.org/bible/readings/031426.cfm","Open official USCCB readings ↗")</x:f>
        <x:v>HYPERLINK is not implemented. linkLocation=https://bible.usccb.org/bible/readings/031426.cfm, friendlyName=Open official USCCB readings ↗</x:v>
      </x:c>
    </x:row>
    <x:row r="75">
      <x:c r="A75" s="40" t="n">
        <x:v>46096</x:v>
      </x:c>
      <x:c r="B75" s="41" t="str">
        <x:v>Sunday</x:v>
      </x:c>
      <x:c r="C75" s="62" t="str">
        <x:v>Lent</x:v>
      </x:c>
      <x:c r="D75" s="41" t="str">
        <x:v>Fourth Sunday of Lent — Laetare</x:v>
      </x:c>
      <x:c r="E75" s="41" t="str">
        <x:v>Sunday</x:v>
      </x:c>
      <x:c r="F75" s="42" t="str"/>
      <x:c r="G75" s="42" t="str">
        <x:v>⛪ 🙏</x:v>
      </x:c>
      <x:c r="H75" s="52" t="str">
        <x:v>⛪ Sunday Mass obligation</x:v>
      </x:c>
      <x:c r="I75" s="54" t="str">
        <x:v>🙏 Novena for Saint Joseph — Day 6/9</x:v>
      </x:c>
      <x:c r="J75" s="42" t="str"/>
      <x:c r="K75" s="42" t="str"/>
      <x:c r="L75" s="42" t="str"/>
      <x:c r="M75" s="42" t="str"/>
      <x:c r="N75" s="42" t="str">
        <x:v>https://www.usccb.org/resources/2026cal.pdf
https://www.usccb.org/beliefs-and-teachings/what-we-believe/canon-law/complementary-norms/canon-1246
https://www.usccb.org/prayer-and-worship/prayers-and-devotions/prayers/novena-for-the-solemnity-of-saint-joseph</x:v>
      </x:c>
      <x:c r="O75" s="115" t="e">
        <x:f>HYPERLINK("https://bible.usccb.org/bible/readings/031526.cfm","Open official USCCB readings ↗")</x:f>
        <x:v>HYPERLINK is not implemented. linkLocation=https://bible.usccb.org/bible/readings/031526.cfm, friendlyName=Open official USCCB readings ↗</x:v>
      </x:c>
    </x:row>
    <x:row r="76">
      <x:c r="A76" s="40" t="n">
        <x:v>46097</x:v>
      </x:c>
      <x:c r="B76" s="41" t="str">
        <x:v>Monday</x:v>
      </x:c>
      <x:c r="C76" s="62" t="str">
        <x:v>Lent</x:v>
      </x:c>
      <x:c r="D76" s="41" t="str">
        <x:v>Lenten Weekday</x:v>
      </x:c>
      <x:c r="E76" s="41" t="str">
        <x:v>Weekday</x:v>
      </x:c>
      <x:c r="F76" s="42" t="str"/>
      <x:c r="G76" s="42" t="str">
        <x:v>🙏</x:v>
      </x:c>
      <x:c r="H76" s="42" t="str"/>
      <x:c r="I76" s="54" t="str">
        <x:v>🙏 Novena for Saint Joseph — Day 7/9</x:v>
      </x:c>
      <x:c r="J76" s="42" t="str"/>
      <x:c r="K76" s="42" t="str"/>
      <x:c r="L76" s="42" t="str"/>
      <x:c r="M76" s="42" t="str"/>
      <x:c r="N76" s="42" t="str">
        <x:v>https://www.usccb.org/resources/2026cal.pdf
https://www.usccb.org/prayer-and-worship/prayers-and-devotions/prayers/novena-for-the-solemnity-of-saint-joseph</x:v>
      </x:c>
      <x:c r="O76" s="115" t="e">
        <x:f>HYPERLINK("https://bible.usccb.org/bible/readings/031626.cfm","Open official USCCB readings ↗")</x:f>
        <x:v>HYPERLINK is not implemented. linkLocation=https://bible.usccb.org/bible/readings/031626.cfm, friendlyName=Open official USCCB readings ↗</x:v>
      </x:c>
    </x:row>
    <x:row r="77">
      <x:c r="A77" s="40" t="n">
        <x:v>46098</x:v>
      </x:c>
      <x:c r="B77" s="41" t="str">
        <x:v>Tuesday</x:v>
      </x:c>
      <x:c r="C77" s="62" t="str">
        <x:v>Lent</x:v>
      </x:c>
      <x:c r="D77" s="41" t="str">
        <x:v>Lenten Weekday</x:v>
      </x:c>
      <x:c r="E77" s="41" t="str">
        <x:v>Weekday</x:v>
      </x:c>
      <x:c r="F77" s="42" t="str">
        <x:v>Saint Patrick [Optional Memorial]</x:v>
      </x:c>
      <x:c r="G77" s="42" t="str">
        <x:v>✦ 🙏</x:v>
      </x:c>
      <x:c r="H77" s="42" t="str"/>
      <x:c r="I77" s="54" t="str">
        <x:v>🙏 Novena for Saint Joseph — Day 8/9</x:v>
      </x:c>
      <x:c r="J77" s="42" t="str"/>
      <x:c r="K77" s="42" t="str"/>
      <x:c r="L77" s="42" t="str"/>
      <x:c r="M77" s="42" t="str"/>
      <x:c r="N77" s="42" t="str">
        <x:v>https://www.usccb.org/resources/2026cal.pdf
https://www.usccb.org/prayer-and-worship/prayers-and-devotions/prayers/novena-for-the-solemnity-of-saint-joseph</x:v>
      </x:c>
      <x:c r="O77" s="115" t="e">
        <x:f>HYPERLINK("https://bible.usccb.org/bible/readings/031726.cfm","Open official USCCB readings ↗")</x:f>
        <x:v>HYPERLINK is not implemented. linkLocation=https://bible.usccb.org/bible/readings/031726.cfm, friendlyName=Open official USCCB readings ↗</x:v>
      </x:c>
    </x:row>
    <x:row r="78">
      <x:c r="A78" s="40" t="n">
        <x:v>46099</x:v>
      </x:c>
      <x:c r="B78" s="41" t="str">
        <x:v>Wednesday</x:v>
      </x:c>
      <x:c r="C78" s="62" t="str">
        <x:v>Lent</x:v>
      </x:c>
      <x:c r="D78" s="41" t="str">
        <x:v>Lenten Weekday</x:v>
      </x:c>
      <x:c r="E78" s="41" t="str">
        <x:v>Weekday</x:v>
      </x:c>
      <x:c r="F78" s="42" t="str">
        <x:v>Saint Cyril of Jerusalem [Optional Memorial]</x:v>
      </x:c>
      <x:c r="G78" s="42" t="str">
        <x:v>✦ 🙏</x:v>
      </x:c>
      <x:c r="H78" s="42" t="str"/>
      <x:c r="I78" s="54" t="str">
        <x:v>🙏 Novena for Saint Joseph — Day 9/9 [END]</x:v>
      </x:c>
      <x:c r="J78" s="42" t="str"/>
      <x:c r="K78" s="42" t="str"/>
      <x:c r="L78" s="42" t="str"/>
      <x:c r="M78" s="42" t="str"/>
      <x:c r="N78" s="42" t="str">
        <x:v>https://www.usccb.org/resources/2026cal.pdf
https://www.usccb.org/prayer-and-worship/prayers-and-devotions/prayers/novena-for-the-solemnity-of-saint-joseph</x:v>
      </x:c>
      <x:c r="O78" s="115" t="e">
        <x:f>HYPERLINK("https://bible.usccb.org/bible/readings/031826.cfm","Open official USCCB readings ↗")</x:f>
        <x:v>HYPERLINK is not implemented. linkLocation=https://bible.usccb.org/bible/readings/031826.cfm, friendlyName=Open official USCCB readings ↗</x:v>
      </x:c>
    </x:row>
    <x:row r="79">
      <x:c r="A79" s="40" t="n">
        <x:v>46100</x:v>
      </x:c>
      <x:c r="B79" s="41" t="str">
        <x:v>Thursday</x:v>
      </x:c>
      <x:c r="C79" s="62" t="str">
        <x:v>Lent</x:v>
      </x:c>
      <x:c r="D79" s="41" t="str">
        <x:v>Saint Joseph, Spouse of the Blessed Virgin Mary</x:v>
      </x:c>
      <x:c r="E79" s="41" t="str">
        <x:v>Solemnity</x:v>
      </x:c>
      <x:c r="F79" s="42" t="str">
        <x:v>Saint Joseph, Spouse of the Blessed Virgin Mary [Solemnity]</x:v>
      </x:c>
      <x:c r="G79" s="42" t="str">
        <x:v>★ ✦</x:v>
      </x:c>
      <x:c r="H79" s="42" t="str"/>
      <x:c r="I79" s="42" t="str"/>
      <x:c r="J79" s="42" t="str"/>
      <x:c r="K79" s="42" t="str"/>
      <x:c r="L79" s="42" t="str"/>
      <x:c r="M79" s="42" t="str"/>
      <x:c r="N79" s="42" t="str">
        <x:v>https://www.usccb.org/resources/2026cal.pdf</x:v>
      </x:c>
      <x:c r="O79" s="115" t="e">
        <x:f>HYPERLINK("https://bible.usccb.org/bible/readings/031926.cfm","Open official USCCB readings ↗")</x:f>
        <x:v>HYPERLINK is not implemented. linkLocation=https://bible.usccb.org/bible/readings/031926.cfm, friendlyName=Open official USCCB readings ↗</x:v>
      </x:c>
    </x:row>
    <x:row r="80">
      <x:c r="A80" s="40" t="n">
        <x:v>46101</x:v>
      </x:c>
      <x:c r="B80" s="41" t="str">
        <x:v>Friday</x:v>
      </x:c>
      <x:c r="C80" s="62" t="str">
        <x:v>Lent</x:v>
      </x:c>
      <x:c r="D80" s="41" t="str">
        <x:v>Lenten Weekday</x:v>
      </x:c>
      <x:c r="E80" s="41" t="str">
        <x:v>Weekday</x:v>
      </x:c>
      <x:c r="F80" s="42" t="str"/>
      <x:c r="G80" s="42" t="str">
        <x:v>Ⓟ</x:v>
      </x:c>
      <x:c r="H80" s="42" t="str"/>
      <x:c r="I80" s="42" t="str"/>
      <x:c r="J80" s="56" t="str">
        <x:v>Lenten Friday — abstinence from meat</x:v>
      </x:c>
      <x:c r="K80" s="42" t="str"/>
      <x:c r="L80" s="42" t="str"/>
      <x:c r="M80" s="42" t="str"/>
      <x:c r="N80" s="42" t="str">
        <x:v>https://www.usccb.org/resources/2026cal.pdf
https://www.usccb.org/prayer-and-worship/liturgical-year-and-calendar/lent/catholic-information-on-lenten-fast-and-abstinence</x:v>
      </x:c>
      <x:c r="O80" s="115" t="e">
        <x:f>HYPERLINK("https://bible.usccb.org/bible/readings/032026.cfm","Open official USCCB readings ↗")</x:f>
        <x:v>HYPERLINK is not implemented. linkLocation=https://bible.usccb.org/bible/readings/032026.cfm, friendlyName=Open official USCCB readings ↗</x:v>
      </x:c>
    </x:row>
    <x:row r="81">
      <x:c r="A81" s="40" t="n">
        <x:v>46102</x:v>
      </x:c>
      <x:c r="B81" s="41" t="str">
        <x:v>Saturday</x:v>
      </x:c>
      <x:c r="C81" s="62" t="str">
        <x:v>Lent</x:v>
      </x:c>
      <x:c r="D81" s="41" t="str">
        <x:v>Lenten Weekday</x:v>
      </x:c>
      <x:c r="E81" s="41" t="str">
        <x:v>Weekday</x:v>
      </x:c>
      <x:c r="F81" s="42" t="str"/>
      <x:c r="G81" s="42" t="str"/>
      <x:c r="H81" s="42" t="str"/>
      <x:c r="I81" s="42" t="str"/>
      <x:c r="J81" s="42" t="str"/>
      <x:c r="K81" s="42" t="str"/>
      <x:c r="L81" s="42" t="str"/>
      <x:c r="M81" s="42" t="str"/>
      <x:c r="N81" s="42" t="str">
        <x:v>https://www.usccb.org/resources/2026cal.pdf</x:v>
      </x:c>
      <x:c r="O81" s="115" t="e">
        <x:f>HYPERLINK("https://bible.usccb.org/bible/readings/032126.cfm","Open official USCCB readings ↗")</x:f>
        <x:v>HYPERLINK is not implemented. linkLocation=https://bible.usccb.org/bible/readings/032126.cfm, friendlyName=Open official USCCB readings ↗</x:v>
      </x:c>
    </x:row>
    <x:row r="82">
      <x:c r="A82" s="40" t="n">
        <x:v>46103</x:v>
      </x:c>
      <x:c r="B82" s="41" t="str">
        <x:v>Sunday</x:v>
      </x:c>
      <x:c r="C82" s="62" t="str">
        <x:v>Lent</x:v>
      </x:c>
      <x:c r="D82" s="41" t="str">
        <x:v>Fifth Sunday of Lent</x:v>
      </x:c>
      <x:c r="E82" s="41" t="str">
        <x:v>Sunday</x:v>
      </x:c>
      <x:c r="F82" s="42" t="str"/>
      <x:c r="G82" s="42" t="str">
        <x:v>⛪</x:v>
      </x:c>
      <x:c r="H82" s="52" t="str">
        <x:v>⛪ Sunday Mass obligation</x:v>
      </x:c>
      <x:c r="I82" s="42" t="str"/>
      <x:c r="J82" s="42" t="str"/>
      <x:c r="K82" s="42" t="str"/>
      <x:c r="L82" s="42" t="str"/>
      <x:c r="M82" s="42" t="str"/>
      <x:c r="N82" s="42" t="str">
        <x:v>https://www.usccb.org/resources/2026cal.pdf
https://www.usccb.org/beliefs-and-teachings/what-we-believe/canon-law/complementary-norms/canon-1246</x:v>
      </x:c>
      <x:c r="O82" s="115" t="e">
        <x:f>HYPERLINK("https://bible.usccb.org/bible/readings/032226.cfm","Open official USCCB readings ↗")</x:f>
        <x:v>HYPERLINK is not implemented. linkLocation=https://bible.usccb.org/bible/readings/032226.cfm, friendlyName=Open official USCCB readings ↗</x:v>
      </x:c>
    </x:row>
    <x:row r="83">
      <x:c r="A83" s="40" t="n">
        <x:v>46104</x:v>
      </x:c>
      <x:c r="B83" s="41" t="str">
        <x:v>Monday</x:v>
      </x:c>
      <x:c r="C83" s="62" t="str">
        <x:v>Lent</x:v>
      </x:c>
      <x:c r="D83" s="41" t="str">
        <x:v>Lenten Weekday</x:v>
      </x:c>
      <x:c r="E83" s="41" t="str">
        <x:v>Weekday</x:v>
      </x:c>
      <x:c r="F83" s="42" t="str">
        <x:v>Saint Turibius of Mogrovejo [Optional Memorial]</x:v>
      </x:c>
      <x:c r="G83" s="42" t="str">
        <x:v>✦</x:v>
      </x:c>
      <x:c r="H83" s="42" t="str"/>
      <x:c r="I83" s="42" t="str"/>
      <x:c r="J83" s="42" t="str"/>
      <x:c r="K83" s="42" t="str"/>
      <x:c r="L83" s="42" t="str"/>
      <x:c r="M83" s="42" t="str"/>
      <x:c r="N83" s="42" t="str">
        <x:v>https://www.usccb.org/resources/2026cal.pdf</x:v>
      </x:c>
      <x:c r="O83" s="115" t="e">
        <x:f>HYPERLINK("https://bible.usccb.org/bible/readings/032326.cfm","Open official USCCB readings ↗")</x:f>
        <x:v>HYPERLINK is not implemented. linkLocation=https://bible.usccb.org/bible/readings/032326.cfm, friendlyName=Open official USCCB readings ↗</x:v>
      </x:c>
    </x:row>
    <x:row r="84">
      <x:c r="A84" s="40" t="n">
        <x:v>46105</x:v>
      </x:c>
      <x:c r="B84" s="41" t="str">
        <x:v>Tuesday</x:v>
      </x:c>
      <x:c r="C84" s="62" t="str">
        <x:v>Lent</x:v>
      </x:c>
      <x:c r="D84" s="41" t="str">
        <x:v>Lenten Weekday</x:v>
      </x:c>
      <x:c r="E84" s="41" t="str">
        <x:v>Weekday</x:v>
      </x:c>
      <x:c r="F84" s="42" t="str"/>
      <x:c r="G84" s="42" t="str"/>
      <x:c r="H84" s="42" t="str"/>
      <x:c r="I84" s="42" t="str"/>
      <x:c r="J84" s="42" t="str"/>
      <x:c r="K84" s="42" t="str"/>
      <x:c r="L84" s="42" t="str"/>
      <x:c r="M84" s="42" t="str"/>
      <x:c r="N84" s="42" t="str">
        <x:v>https://www.usccb.org/resources/2026cal.pdf</x:v>
      </x:c>
      <x:c r="O84" s="115" t="e">
        <x:f>HYPERLINK("https://bible.usccb.org/bible/readings/032426.cfm","Open official USCCB readings ↗")</x:f>
        <x:v>HYPERLINK is not implemented. linkLocation=https://bible.usccb.org/bible/readings/032426.cfm, friendlyName=Open official USCCB readings ↗</x:v>
      </x:c>
    </x:row>
    <x:row r="85">
      <x:c r="A85" s="40" t="n">
        <x:v>46106</x:v>
      </x:c>
      <x:c r="B85" s="41" t="str">
        <x:v>Wednesday</x:v>
      </x:c>
      <x:c r="C85" s="62" t="str">
        <x:v>Lent</x:v>
      </x:c>
      <x:c r="D85" s="41" t="str">
        <x:v>Annunciation of the Lord</x:v>
      </x:c>
      <x:c r="E85" s="41" t="str">
        <x:v>Solemnity</x:v>
      </x:c>
      <x:c r="F85" s="48" t="str">
        <x:v>Annunciation of the Lord [Solemnity]</x:v>
      </x:c>
      <x:c r="G85" s="42" t="str">
        <x:v>★ ✝ 🌹</x:v>
      </x:c>
      <x:c r="H85" s="42" t="str"/>
      <x:c r="I85" s="42" t="str"/>
      <x:c r="J85" s="42" t="str"/>
      <x:c r="K85" s="42" t="str"/>
      <x:c r="L85" s="42" t="str"/>
      <x:c r="M85" s="42" t="str"/>
      <x:c r="N85" s="42" t="str">
        <x:v>https://www.usccb.org/resources/2026cal.pdf</x:v>
      </x:c>
      <x:c r="O85" s="115" t="e">
        <x:f>HYPERLINK("https://bible.usccb.org/bible/readings/032526.cfm","Open official USCCB readings ↗")</x:f>
        <x:v>HYPERLINK is not implemented. linkLocation=https://bible.usccb.org/bible/readings/032526.cfm, friendlyName=Open official USCCB readings ↗</x:v>
      </x:c>
    </x:row>
    <x:row r="86">
      <x:c r="A86" s="40" t="n">
        <x:v>46107</x:v>
      </x:c>
      <x:c r="B86" s="41" t="str">
        <x:v>Thursday</x:v>
      </x:c>
      <x:c r="C86" s="62" t="str">
        <x:v>Lent</x:v>
      </x:c>
      <x:c r="D86" s="41" t="str">
        <x:v>Lenten Weekday</x:v>
      </x:c>
      <x:c r="E86" s="41" t="str">
        <x:v>Weekday</x:v>
      </x:c>
      <x:c r="F86" s="42" t="str"/>
      <x:c r="G86" s="42" t="str"/>
      <x:c r="H86" s="42" t="str"/>
      <x:c r="I86" s="42" t="str"/>
      <x:c r="J86" s="42" t="str"/>
      <x:c r="K86" s="42" t="str"/>
      <x:c r="L86" s="42" t="str"/>
      <x:c r="M86" s="42" t="str"/>
      <x:c r="N86" s="42" t="str">
        <x:v>https://www.usccb.org/resources/2026cal.pdf</x:v>
      </x:c>
      <x:c r="O86" s="115" t="e">
        <x:f>HYPERLINK("https://bible.usccb.org/bible/readings/032626.cfm","Open official USCCB readings ↗")</x:f>
        <x:v>HYPERLINK is not implemented. linkLocation=https://bible.usccb.org/bible/readings/032626.cfm, friendlyName=Open official USCCB readings ↗</x:v>
      </x:c>
    </x:row>
    <x:row r="87">
      <x:c r="A87" s="40" t="n">
        <x:v>46108</x:v>
      </x:c>
      <x:c r="B87" s="41" t="str">
        <x:v>Friday</x:v>
      </x:c>
      <x:c r="C87" s="62" t="str">
        <x:v>Lent</x:v>
      </x:c>
      <x:c r="D87" s="41" t="str">
        <x:v>Lenten Weekday</x:v>
      </x:c>
      <x:c r="E87" s="41" t="str">
        <x:v>Weekday</x:v>
      </x:c>
      <x:c r="F87" s="42" t="str"/>
      <x:c r="G87" s="42" t="str">
        <x:v>Ⓟ</x:v>
      </x:c>
      <x:c r="H87" s="42" t="str"/>
      <x:c r="I87" s="42" t="str"/>
      <x:c r="J87" s="56" t="str">
        <x:v>Lenten Friday — abstinence from meat</x:v>
      </x:c>
      <x:c r="K87" s="42" t="str"/>
      <x:c r="L87" s="42" t="str"/>
      <x:c r="M87" s="42" t="str"/>
      <x:c r="N87" s="42" t="str">
        <x:v>https://www.usccb.org/resources/2026cal.pdf
https://www.usccb.org/prayer-and-worship/liturgical-year-and-calendar/lent/catholic-information-on-lenten-fast-and-abstinence</x:v>
      </x:c>
      <x:c r="O87" s="115" t="e">
        <x:f>HYPERLINK("https://bible.usccb.org/bible/readings/032726.cfm","Open official USCCB readings ↗")</x:f>
        <x:v>HYPERLINK is not implemented. linkLocation=https://bible.usccb.org/bible/readings/032726.cfm, friendlyName=Open official USCCB readings ↗</x:v>
      </x:c>
    </x:row>
    <x:row r="88">
      <x:c r="A88" s="40" t="n">
        <x:v>46109</x:v>
      </x:c>
      <x:c r="B88" s="41" t="str">
        <x:v>Saturday</x:v>
      </x:c>
      <x:c r="C88" s="62" t="str">
        <x:v>Lent</x:v>
      </x:c>
      <x:c r="D88" s="41" t="str">
        <x:v>Lenten Weekday</x:v>
      </x:c>
      <x:c r="E88" s="41" t="str">
        <x:v>Weekday</x:v>
      </x:c>
      <x:c r="F88" s="42" t="str"/>
      <x:c r="G88" s="42" t="str"/>
      <x:c r="H88" s="42" t="str"/>
      <x:c r="I88" s="42" t="str"/>
      <x:c r="J88" s="42" t="str"/>
      <x:c r="K88" s="42" t="str"/>
      <x:c r="L88" s="42" t="str"/>
      <x:c r="M88" s="42" t="str"/>
      <x:c r="N88" s="42" t="str">
        <x:v>https://www.usccb.org/resources/2026cal.pdf</x:v>
      </x:c>
      <x:c r="O88" s="115" t="e">
        <x:f>HYPERLINK("https://bible.usccb.org/bible/readings/032826.cfm","Open official USCCB readings ↗")</x:f>
        <x:v>HYPERLINK is not implemented. linkLocation=https://bible.usccb.org/bible/readings/032826.cfm, friendlyName=Open official USCCB readings ↗</x:v>
      </x:c>
    </x:row>
    <x:row r="89">
      <x:c r="A89" s="40" t="n">
        <x:v>46110</x:v>
      </x:c>
      <x:c r="B89" s="41" t="str">
        <x:v>Sunday</x:v>
      </x:c>
      <x:c r="C89" s="62" t="str">
        <x:v>Lent</x:v>
      </x:c>
      <x:c r="D89" s="41" t="str">
        <x:v>Palm Sunday of the Passion of the Lord</x:v>
      </x:c>
      <x:c r="E89" s="41" t="str">
        <x:v>Sunday</x:v>
      </x:c>
      <x:c r="F89" s="42" t="str"/>
      <x:c r="G89" s="42" t="str">
        <x:v>✝ ⛪</x:v>
      </x:c>
      <x:c r="H89" s="52" t="str">
        <x:v>⛪ Sunday Mass obligation</x:v>
      </x:c>
      <x:c r="I89" s="42" t="str"/>
      <x:c r="J89" s="42" t="str"/>
      <x:c r="K89" s="42" t="str"/>
      <x:c r="L89" s="42" t="str"/>
      <x:c r="M89" s="42" t="str"/>
      <x:c r="N89" s="42" t="str">
        <x:v>https://www.usccb.org/resources/2026cal.pdf
https://www.usccb.org/beliefs-and-teachings/what-we-believe/canon-law/complementary-norms/canon-1246</x:v>
      </x:c>
      <x:c r="O89" s="115" t="e">
        <x:f>HYPERLINK("https://bible.usccb.org/bible/readings/032926.cfm","Open official USCCB readings ↗")</x:f>
        <x:v>HYPERLINK is not implemented. linkLocation=https://bible.usccb.org/bible/readings/032926.cfm, friendlyName=Open official USCCB readings ↗</x:v>
      </x:c>
    </x:row>
    <x:row r="90">
      <x:c r="A90" s="40" t="n">
        <x:v>46111</x:v>
      </x:c>
      <x:c r="B90" s="41" t="str">
        <x:v>Monday</x:v>
      </x:c>
      <x:c r="C90" s="62" t="str">
        <x:v>Lent</x:v>
      </x:c>
      <x:c r="D90" s="41" t="str">
        <x:v>Lenten Weekday</x:v>
      </x:c>
      <x:c r="E90" s="41" t="str">
        <x:v>Weekday</x:v>
      </x:c>
      <x:c r="F90" s="42" t="str"/>
      <x:c r="G90" s="42" t="str"/>
      <x:c r="H90" s="42" t="str"/>
      <x:c r="I90" s="42" t="str"/>
      <x:c r="J90" s="42" t="str"/>
      <x:c r="K90" s="42" t="str"/>
      <x:c r="L90" s="42" t="str"/>
      <x:c r="M90" s="42" t="str"/>
      <x:c r="N90" s="42" t="str">
        <x:v>https://www.usccb.org/resources/2026cal.pdf</x:v>
      </x:c>
      <x:c r="O90" s="115" t="e">
        <x:f>HYPERLINK("https://bible.usccb.org/bible/readings/033026.cfm","Open official USCCB readings ↗")</x:f>
        <x:v>HYPERLINK is not implemented. linkLocation=https://bible.usccb.org/bible/readings/033026.cfm, friendlyName=Open official USCCB readings ↗</x:v>
      </x:c>
    </x:row>
    <x:row r="91">
      <x:c r="A91" s="40" t="n">
        <x:v>46112</x:v>
      </x:c>
      <x:c r="B91" s="41" t="str">
        <x:v>Tuesday</x:v>
      </x:c>
      <x:c r="C91" s="62" t="str">
        <x:v>Lent</x:v>
      </x:c>
      <x:c r="D91" s="41" t="str">
        <x:v>Lenten Weekday</x:v>
      </x:c>
      <x:c r="E91" s="41" t="str">
        <x:v>Weekday</x:v>
      </x:c>
      <x:c r="F91" s="42" t="str"/>
      <x:c r="G91" s="42" t="str"/>
      <x:c r="H91" s="42" t="str"/>
      <x:c r="I91" s="42" t="str"/>
      <x:c r="J91" s="42" t="str"/>
      <x:c r="K91" s="42" t="str"/>
      <x:c r="L91" s="42" t="str"/>
      <x:c r="M91" s="42" t="str"/>
      <x:c r="N91" s="42" t="str">
        <x:v>https://www.usccb.org/resources/2026cal.pdf</x:v>
      </x:c>
      <x:c r="O91" s="115" t="e">
        <x:f>HYPERLINK("https://bible.usccb.org/bible/readings/033126.cfm","Open official USCCB readings ↗")</x:f>
        <x:v>HYPERLINK is not implemented. linkLocation=https://bible.usccb.org/bible/readings/033126.cfm, friendlyName=Open official USCCB readings ↗</x:v>
      </x:c>
    </x:row>
    <x:row r="92">
      <x:c r="A92" s="40" t="n">
        <x:v>46113</x:v>
      </x:c>
      <x:c r="B92" s="41" t="str">
        <x:v>Wednesday</x:v>
      </x:c>
      <x:c r="C92" s="62" t="str">
        <x:v>Lent</x:v>
      </x:c>
      <x:c r="D92" s="41" t="str">
        <x:v>Lenten Weekday</x:v>
      </x:c>
      <x:c r="E92" s="41" t="str">
        <x:v>Weekday</x:v>
      </x:c>
      <x:c r="F92" s="42" t="str"/>
      <x:c r="G92" s="42" t="str"/>
      <x:c r="H92" s="42" t="str"/>
      <x:c r="I92" s="42" t="str"/>
      <x:c r="J92" s="42" t="str"/>
      <x:c r="K92" s="42" t="str"/>
      <x:c r="L92" s="42" t="str"/>
      <x:c r="M92" s="42" t="str"/>
      <x:c r="N92" s="42" t="str">
        <x:v>https://www.usccb.org/resources/2026cal.pdf</x:v>
      </x:c>
      <x:c r="O92" s="115" t="e">
        <x:f>HYPERLINK("https://bible.usccb.org/bible/readings/040126.cfm","Open official USCCB readings ↗")</x:f>
        <x:v>HYPERLINK is not implemented. linkLocation=https://bible.usccb.org/bible/readings/040126.cfm, friendlyName=Open official USCCB readings ↗</x:v>
      </x:c>
    </x:row>
    <x:row r="93">
      <x:c r="A93" s="40" t="n">
        <x:v>46114</x:v>
      </x:c>
      <x:c r="B93" s="41" t="str">
        <x:v>Thursday</x:v>
      </x:c>
      <x:c r="C93" s="64" t="str">
        <x:v>Sacred Triduum</x:v>
      </x:c>
      <x:c r="D93" s="41" t="str">
        <x:v>Holy Thursday</x:v>
      </x:c>
      <x:c r="E93" s="41" t="str">
        <x:v>Sacred Triduum</x:v>
      </x:c>
      <x:c r="F93" s="42" t="str">
        <x:v>Saint Francis of Paola [Optional Memorial]</x:v>
      </x:c>
      <x:c r="G93" s="42" t="str">
        <x:v>✝ ✦</x:v>
      </x:c>
      <x:c r="H93" s="42" t="str"/>
      <x:c r="I93" s="42" t="str"/>
      <x:c r="J93" s="42" t="str"/>
      <x:c r="K93" s="42" t="str"/>
      <x:c r="L93" s="42" t="str"/>
      <x:c r="M93" s="42" t="str"/>
      <x:c r="N93" s="42" t="str">
        <x:v>https://www.usccb.org/resources/2026cal.pdf</x:v>
      </x:c>
      <x:c r="O93" s="115" t="e">
        <x:f>HYPERLINK("https://bible.usccb.org/bible/readings/040226.cfm","Open official USCCB readings ↗")</x:f>
        <x:v>HYPERLINK is not implemented. linkLocation=https://bible.usccb.org/bible/readings/040226.cfm, friendlyName=Open official USCCB readings ↗</x:v>
      </x:c>
    </x:row>
    <x:row r="94">
      <x:c r="A94" s="40" t="n">
        <x:v>46115</x:v>
      </x:c>
      <x:c r="B94" s="41" t="str">
        <x:v>Friday</x:v>
      </x:c>
      <x:c r="C94" s="64" t="str">
        <x:v>Sacred Triduum</x:v>
      </x:c>
      <x:c r="D94" s="41" t="str">
        <x:v>Good Friday of the Passion of the Lord</x:v>
      </x:c>
      <x:c r="E94" s="41" t="str">
        <x:v>Sacred Triduum</x:v>
      </x:c>
      <x:c r="F94" s="42" t="str"/>
      <x:c r="G94" s="42" t="str">
        <x:v>✝ Ⓟ 🙏</x:v>
      </x:c>
      <x:c r="H94" s="42" t="str"/>
      <x:c r="I94" s="54" t="str">
        <x:v>🙏 Divine Mercy Novena — Day 1/9 [START]
❤ First Friday — Sacred Heart devotion</x:v>
      </x:c>
      <x:c r="J94" s="56" t="str">
        <x:v>Good Friday — fast + abstinence</x:v>
      </x:c>
      <x:c r="K94" s="42" t="str"/>
      <x:c r="L94" s="42" t="str"/>
      <x:c r="M94" s="42" t="str"/>
      <x:c r="N94" s="42" t="str">
        <x:v>https://www.usccb.org/resources/2026cal.pdf
https://thedivinemercy.org/articles/pray-novena-divine-mercy-april-3-11
https://www.ewtn.com/catholicism/library/first-friday-devotion-to-sacred-heart-4692
https://www.usccb.org/prayer-and-worship/liturgical-year-and-calendar/lent/catholic-information-on-lenten-fast-and-abstinence</x:v>
      </x:c>
      <x:c r="O94" s="115" t="e">
        <x:f>HYPERLINK("https://bible.usccb.org/bible/readings/040326.cfm","Open official USCCB readings ↗")</x:f>
        <x:v>HYPERLINK is not implemented. linkLocation=https://bible.usccb.org/bible/readings/040326.cfm, friendlyName=Open official USCCB readings ↗</x:v>
      </x:c>
    </x:row>
    <x:row r="95">
      <x:c r="A95" s="40" t="n">
        <x:v>46116</x:v>
      </x:c>
      <x:c r="B95" s="41" t="str">
        <x:v>Saturday</x:v>
      </x:c>
      <x:c r="C95" s="64" t="str">
        <x:v>Sacred Triduum</x:v>
      </x:c>
      <x:c r="D95" s="41" t="str">
        <x:v>Holy Saturday / Easter Vigil</x:v>
      </x:c>
      <x:c r="E95" s="41" t="str">
        <x:v>Sacred Triduum</x:v>
      </x:c>
      <x:c r="F95" s="48" t="str">
        <x:v>Saint Isidore [Optional Memorial]</x:v>
      </x:c>
      <x:c r="G95" s="42" t="str">
        <x:v>✝ ✦ 🙏 🌹</x:v>
      </x:c>
      <x:c r="H95" s="42" t="str"/>
      <x:c r="I95" s="54" t="str">
        <x:v>🙏 Divine Mercy Novena — Day 2/9
🌹 First Saturday — Immaculate Heart devotion</x:v>
      </x:c>
      <x:c r="J95" s="42" t="str"/>
      <x:c r="K95" s="42" t="str"/>
      <x:c r="L95" s="42" t="str"/>
      <x:c r="M95" s="42" t="str"/>
      <x:c r="N95" s="42" t="str">
        <x:v>https://www.usccb.org/resources/2026cal.pdf
https://thedivinemercy.org/articles/pray-novena-divine-mercy-april-3-11
https://www.ewtn.com/catholicism/library/revelation-of-the-immaculate-heart-at-fatima-in-1917-5465</x:v>
      </x:c>
      <x:c r="O95" s="115" t="e">
        <x:f>HYPERLINK("https://bible.usccb.org/bible/readings/040426.cfm","Open official USCCB readings ↗")</x:f>
        <x:v>HYPERLINK is not implemented. linkLocation=https://bible.usccb.org/bible/readings/040426.cfm, friendlyName=Open official USCCB readings ↗</x:v>
      </x:c>
    </x:row>
    <x:row r="96">
      <x:c r="A96" s="40" t="n">
        <x:v>46117</x:v>
      </x:c>
      <x:c r="B96" s="41" t="str">
        <x:v>Sunday</x:v>
      </x:c>
      <x:c r="C96" s="66" t="str">
        <x:v>Easter</x:v>
      </x:c>
      <x:c r="D96" s="41" t="str">
        <x:v>Easter Sunday of the Resurrection of the Lord</x:v>
      </x:c>
      <x:c r="E96" s="41" t="str">
        <x:v>Solemnity</x:v>
      </x:c>
      <x:c r="F96" s="42" t="str">
        <x:v>Saint Vincent Ferrer [Optional Memorial]</x:v>
      </x:c>
      <x:c r="G96" s="42" t="str">
        <x:v>★ ✝ ✦ ⛪ 🙏</x:v>
      </x:c>
      <x:c r="H96" s="52" t="str">
        <x:v>⛪ Sunday Mass obligation</x:v>
      </x:c>
      <x:c r="I96" s="54" t="str">
        <x:v>🙏 Divine Mercy Novena — Day 3/9</x:v>
      </x:c>
      <x:c r="J96" s="42" t="str"/>
      <x:c r="K96" s="42" t="str"/>
      <x:c r="L96" s="42" t="str"/>
      <x:c r="M96" s="42" t="str">
        <x:v>A fixed observance also falls today, but the Sunday or higher-ranking celebration takes liturgical precedence.</x:v>
      </x:c>
      <x:c r="N96" s="42" t="str">
        <x:v>https://www.usccb.org/resources/2026cal.pdf
https://www.usccb.org/beliefs-and-teachings/what-we-believe/canon-law/complementary-norms/canon-1246
https://thedivinemercy.org/articles/pray-novena-divine-mercy-april-3-11</x:v>
      </x:c>
      <x:c r="O96" s="115" t="e">
        <x:f>HYPERLINK("https://bible.usccb.org/bible/readings/040526.cfm","Open official USCCB readings ↗")</x:f>
        <x:v>HYPERLINK is not implemented. linkLocation=https://bible.usccb.org/bible/readings/040526.cfm, friendlyName=Open official USCCB readings ↗</x:v>
      </x:c>
    </x:row>
    <x:row r="97">
      <x:c r="A97" s="40" t="n">
        <x:v>46118</x:v>
      </x:c>
      <x:c r="B97" s="41" t="str">
        <x:v>Monday</x:v>
      </x:c>
      <x:c r="C97" s="66" t="str">
        <x:v>Easter</x:v>
      </x:c>
      <x:c r="D97" s="41" t="str">
        <x:v>Day within the Octave of Easter</x:v>
      </x:c>
      <x:c r="E97" s="41" t="str">
        <x:v>Octave Day</x:v>
      </x:c>
      <x:c r="F97" s="42" t="str"/>
      <x:c r="G97" s="42" t="str">
        <x:v>🙏</x:v>
      </x:c>
      <x:c r="H97" s="42" t="str"/>
      <x:c r="I97" s="54" t="str">
        <x:v>🙏 Divine Mercy Novena — Day 4/9</x:v>
      </x:c>
      <x:c r="J97" s="42" t="str"/>
      <x:c r="K97" s="42" t="str"/>
      <x:c r="L97" s="42" t="str"/>
      <x:c r="M97" s="42" t="str"/>
      <x:c r="N97" s="42" t="str">
        <x:v>https://www.usccb.org/resources/2026cal.pdf
https://thedivinemercy.org/articles/pray-novena-divine-mercy-april-3-11</x:v>
      </x:c>
      <x:c r="O97" s="115" t="e">
        <x:f>HYPERLINK("https://bible.usccb.org/bible/readings/040626.cfm","Open official USCCB readings ↗")</x:f>
        <x:v>HYPERLINK is not implemented. linkLocation=https://bible.usccb.org/bible/readings/040626.cfm, friendlyName=Open official USCCB readings ↗</x:v>
      </x:c>
    </x:row>
    <x:row r="98">
      <x:c r="A98" s="40" t="n">
        <x:v>46119</x:v>
      </x:c>
      <x:c r="B98" s="41" t="str">
        <x:v>Tuesday</x:v>
      </x:c>
      <x:c r="C98" s="66" t="str">
        <x:v>Easter</x:v>
      </x:c>
      <x:c r="D98" s="41" t="str">
        <x:v>Day within the Octave of Easter</x:v>
      </x:c>
      <x:c r="E98" s="41" t="str">
        <x:v>Octave Day</x:v>
      </x:c>
      <x:c r="F98" s="42" t="str">
        <x:v>Saint John Baptist de la Salle [Memorial]</x:v>
      </x:c>
      <x:c r="G98" s="42" t="str">
        <x:v>✦ 🙏</x:v>
      </x:c>
      <x:c r="H98" s="42" t="str"/>
      <x:c r="I98" s="54" t="str">
        <x:v>🙏 Divine Mercy Novena — Day 5/9</x:v>
      </x:c>
      <x:c r="J98" s="42" t="str"/>
      <x:c r="K98" s="42" t="str"/>
      <x:c r="L98" s="42" t="str"/>
      <x:c r="M98" s="42" t="str"/>
      <x:c r="N98" s="42" t="str">
        <x:v>https://www.usccb.org/resources/2026cal.pdf
https://thedivinemercy.org/articles/pray-novena-divine-mercy-april-3-11</x:v>
      </x:c>
      <x:c r="O98" s="115" t="e">
        <x:f>HYPERLINK("https://bible.usccb.org/bible/readings/040726.cfm","Open official USCCB readings ↗")</x:f>
        <x:v>HYPERLINK is not implemented. linkLocation=https://bible.usccb.org/bible/readings/040726.cfm, friendlyName=Open official USCCB readings ↗</x:v>
      </x:c>
    </x:row>
    <x:row r="99">
      <x:c r="A99" s="40" t="n">
        <x:v>46120</x:v>
      </x:c>
      <x:c r="B99" s="41" t="str">
        <x:v>Wednesday</x:v>
      </x:c>
      <x:c r="C99" s="66" t="str">
        <x:v>Easter</x:v>
      </x:c>
      <x:c r="D99" s="41" t="str">
        <x:v>Day within the Octave of Easter</x:v>
      </x:c>
      <x:c r="E99" s="41" t="str">
        <x:v>Octave Day</x:v>
      </x:c>
      <x:c r="F99" s="42" t="str"/>
      <x:c r="G99" s="42" t="str">
        <x:v>🙏</x:v>
      </x:c>
      <x:c r="H99" s="42" t="str"/>
      <x:c r="I99" s="54" t="str">
        <x:v>🙏 Divine Mercy Novena — Day 6/9</x:v>
      </x:c>
      <x:c r="J99" s="42" t="str"/>
      <x:c r="K99" s="42" t="str"/>
      <x:c r="L99" s="42" t="str"/>
      <x:c r="M99" s="42" t="str"/>
      <x:c r="N99" s="42" t="str">
        <x:v>https://www.usccb.org/resources/2026cal.pdf
https://thedivinemercy.org/articles/pray-novena-divine-mercy-april-3-11</x:v>
      </x:c>
      <x:c r="O99" s="115" t="e">
        <x:f>HYPERLINK("https://bible.usccb.org/bible/readings/040826.cfm","Open official USCCB readings ↗")</x:f>
        <x:v>HYPERLINK is not implemented. linkLocation=https://bible.usccb.org/bible/readings/040826.cfm, friendlyName=Open official USCCB readings ↗</x:v>
      </x:c>
    </x:row>
    <x:row r="100">
      <x:c r="A100" s="40" t="n">
        <x:v>46121</x:v>
      </x:c>
      <x:c r="B100" s="41" t="str">
        <x:v>Thursday</x:v>
      </x:c>
      <x:c r="C100" s="66" t="str">
        <x:v>Easter</x:v>
      </x:c>
      <x:c r="D100" s="41" t="str">
        <x:v>Day within the Octave of Easter</x:v>
      </x:c>
      <x:c r="E100" s="41" t="str">
        <x:v>Octave Day</x:v>
      </x:c>
      <x:c r="F100" s="42" t="str"/>
      <x:c r="G100" s="42" t="str">
        <x:v>🙏</x:v>
      </x:c>
      <x:c r="H100" s="42" t="str"/>
      <x:c r="I100" s="54" t="str">
        <x:v>🙏 Divine Mercy Novena — Day 7/9</x:v>
      </x:c>
      <x:c r="J100" s="42" t="str"/>
      <x:c r="K100" s="42" t="str"/>
      <x:c r="L100" s="42" t="str"/>
      <x:c r="M100" s="42" t="str"/>
      <x:c r="N100" s="42" t="str">
        <x:v>https://www.usccb.org/resources/2026cal.pdf
https://thedivinemercy.org/articles/pray-novena-divine-mercy-april-3-11</x:v>
      </x:c>
      <x:c r="O100" s="115" t="e">
        <x:f>HYPERLINK("https://bible.usccb.org/bible/readings/040926.cfm","Open official USCCB readings ↗")</x:f>
        <x:v>HYPERLINK is not implemented. linkLocation=https://bible.usccb.org/bible/readings/040926.cfm, friendlyName=Open official USCCB readings ↗</x:v>
      </x:c>
    </x:row>
    <x:row r="101">
      <x:c r="A101" s="40" t="n">
        <x:v>46122</x:v>
      </x:c>
      <x:c r="B101" s="41" t="str">
        <x:v>Friday</x:v>
      </x:c>
      <x:c r="C101" s="66" t="str">
        <x:v>Easter</x:v>
      </x:c>
      <x:c r="D101" s="41" t="str">
        <x:v>Day within the Octave of Easter</x:v>
      </x:c>
      <x:c r="E101" s="41" t="str">
        <x:v>Octave Day</x:v>
      </x:c>
      <x:c r="F101" s="42" t="str"/>
      <x:c r="G101" s="42" t="str">
        <x:v>🙏 Ⓟ</x:v>
      </x:c>
      <x:c r="H101" s="42" t="str"/>
      <x:c r="I101" s="54" t="str">
        <x:v>🙏 Divine Mercy Novena — Day 8/9</x:v>
      </x:c>
      <x:c r="J101" s="56" t="str">
        <x:v>Friday penance — outside Lent, U.S. Catholics may choose an appropriate penitential practice</x:v>
      </x:c>
      <x:c r="K101" s="42" t="str"/>
      <x:c r="L101" s="42" t="str"/>
      <x:c r="M101" s="42" t="str"/>
      <x:c r="N101" s="42" t="str">
        <x:v>https://www.usccb.org/resources/2026cal.pdf
https://thedivinemercy.org/articles/pray-novena-divine-mercy-april-3-11
https://www.usccb.org/prayer-and-worship/liturgical-year-and-calendar/lent/catholic-information-on-lenten-fast-and-abstinence</x:v>
      </x:c>
      <x:c r="O101" s="115" t="e">
        <x:f>HYPERLINK("https://bible.usccb.org/bible/readings/041026.cfm","Open official USCCB readings ↗")</x:f>
        <x:v>HYPERLINK is not implemented. linkLocation=https://bible.usccb.org/bible/readings/041026.cfm, friendlyName=Open official USCCB readings ↗</x:v>
      </x:c>
    </x:row>
    <x:row r="102">
      <x:c r="A102" s="40" t="n">
        <x:v>46123</x:v>
      </x:c>
      <x:c r="B102" s="41" t="str">
        <x:v>Saturday</x:v>
      </x:c>
      <x:c r="C102" s="66" t="str">
        <x:v>Easter</x:v>
      </x:c>
      <x:c r="D102" s="41" t="str">
        <x:v>Day within the Octave of Easter</x:v>
      </x:c>
      <x:c r="E102" s="41" t="str">
        <x:v>Octave Day</x:v>
      </x:c>
      <x:c r="F102" s="42" t="str">
        <x:v>Saint Stanislaus [Memorial]</x:v>
      </x:c>
      <x:c r="G102" s="42" t="str">
        <x:v>✦ 🙏</x:v>
      </x:c>
      <x:c r="H102" s="42" t="str"/>
      <x:c r="I102" s="54" t="str">
        <x:v>🙏 Divine Mercy Novena — Day 9/9 [END]</x:v>
      </x:c>
      <x:c r="J102" s="42" t="str"/>
      <x:c r="K102" s="42" t="str"/>
      <x:c r="L102" s="42" t="str"/>
      <x:c r="M102" s="42" t="str"/>
      <x:c r="N102" s="42" t="str">
        <x:v>https://www.usccb.org/resources/2026cal.pdf
https://thedivinemercy.org/articles/pray-novena-divine-mercy-april-3-11</x:v>
      </x:c>
      <x:c r="O102" s="115" t="e">
        <x:f>HYPERLINK("https://bible.usccb.org/bible/readings/041126.cfm","Open official USCCB readings ↗")</x:f>
        <x:v>HYPERLINK is not implemented. linkLocation=https://bible.usccb.org/bible/readings/041126.cfm, friendlyName=Open official USCCB readings ↗</x:v>
      </x:c>
    </x:row>
    <x:row r="103">
      <x:c r="A103" s="40" t="n">
        <x:v>46124</x:v>
      </x:c>
      <x:c r="B103" s="41" t="str">
        <x:v>Sunday</x:v>
      </x:c>
      <x:c r="C103" s="66" t="str">
        <x:v>Easter</x:v>
      </x:c>
      <x:c r="D103" s="41" t="str">
        <x:v>Second Sunday of Easter — Divine Mercy Sunday</x:v>
      </x:c>
      <x:c r="E103" s="41" t="str">
        <x:v>Sunday</x:v>
      </x:c>
      <x:c r="F103" s="42" t="str"/>
      <x:c r="G103" s="42" t="str">
        <x:v>✝ ⛪</x:v>
      </x:c>
      <x:c r="H103" s="52" t="str">
        <x:v>⛪ Sunday Mass obligation</x:v>
      </x:c>
      <x:c r="I103" s="42" t="str"/>
      <x:c r="J103" s="42" t="str"/>
      <x:c r="K103" s="42" t="str"/>
      <x:c r="L103" s="42" t="str"/>
      <x:c r="M103" s="42" t="str"/>
      <x:c r="N103" s="42" t="str">
        <x:v>https://www.usccb.org/resources/2026cal.pdf
https://www.usccb.org/beliefs-and-teachings/what-we-believe/canon-law/complementary-norms/canon-1246</x:v>
      </x:c>
      <x:c r="O103" s="115" t="e">
        <x:f>HYPERLINK("https://bible.usccb.org/bible/readings/041226.cfm","Open official USCCB readings ↗")</x:f>
        <x:v>HYPERLINK is not implemented. linkLocation=https://bible.usccb.org/bible/readings/041226.cfm, friendlyName=Open official USCCB readings ↗</x:v>
      </x:c>
    </x:row>
    <x:row r="104">
      <x:c r="A104" s="40" t="n">
        <x:v>46125</x:v>
      </x:c>
      <x:c r="B104" s="41" t="str">
        <x:v>Monday</x:v>
      </x:c>
      <x:c r="C104" s="66" t="str">
        <x:v>Easter</x:v>
      </x:c>
      <x:c r="D104" s="41" t="str">
        <x:v>Easter Weekday</x:v>
      </x:c>
      <x:c r="E104" s="41" t="str">
        <x:v>Weekday</x:v>
      </x:c>
      <x:c r="F104" s="42" t="str">
        <x:v>Saint Martin I [Optional Memorial]</x:v>
      </x:c>
      <x:c r="G104" s="42" t="str">
        <x:v>✦</x:v>
      </x:c>
      <x:c r="H104" s="42" t="str"/>
      <x:c r="I104" s="42" t="str"/>
      <x:c r="J104" s="42" t="str"/>
      <x:c r="K104" s="42" t="str"/>
      <x:c r="L104" s="42" t="str"/>
      <x:c r="M104" s="42" t="str"/>
      <x:c r="N104" s="42" t="str">
        <x:v>https://www.usccb.org/resources/2026cal.pdf</x:v>
      </x:c>
      <x:c r="O104" s="115" t="e">
        <x:f>HYPERLINK("https://bible.usccb.org/bible/readings/041326.cfm","Open official USCCB readings ↗")</x:f>
        <x:v>HYPERLINK is not implemented. linkLocation=https://bible.usccb.org/bible/readings/041326.cfm, friendlyName=Open official USCCB readings ↗</x:v>
      </x:c>
    </x:row>
    <x:row r="105">
      <x:c r="A105" s="40" t="n">
        <x:v>46126</x:v>
      </x:c>
      <x:c r="B105" s="41" t="str">
        <x:v>Tuesday</x:v>
      </x:c>
      <x:c r="C105" s="66" t="str">
        <x:v>Easter</x:v>
      </x:c>
      <x:c r="D105" s="41" t="str">
        <x:v>Easter Weekday</x:v>
      </x:c>
      <x:c r="E105" s="41" t="str">
        <x:v>Weekday</x:v>
      </x:c>
      <x:c r="F105" s="42" t="str"/>
      <x:c r="G105" s="42" t="str"/>
      <x:c r="H105" s="42" t="str"/>
      <x:c r="I105" s="42" t="str"/>
      <x:c r="J105" s="42" t="str"/>
      <x:c r="K105" s="42" t="str"/>
      <x:c r="L105" s="42" t="str"/>
      <x:c r="M105" s="42" t="str"/>
      <x:c r="N105" s="42" t="str">
        <x:v>https://www.usccb.org/resources/2026cal.pdf</x:v>
      </x:c>
      <x:c r="O105" s="115" t="e">
        <x:f>HYPERLINK("https://bible.usccb.org/bible/readings/041426.cfm","Open official USCCB readings ↗")</x:f>
        <x:v>HYPERLINK is not implemented. linkLocation=https://bible.usccb.org/bible/readings/041426.cfm, friendlyName=Open official USCCB readings ↗</x:v>
      </x:c>
    </x:row>
    <x:row r="106">
      <x:c r="A106" s="40" t="n">
        <x:v>46127</x:v>
      </x:c>
      <x:c r="B106" s="41" t="str">
        <x:v>Wednesday</x:v>
      </x:c>
      <x:c r="C106" s="66" t="str">
        <x:v>Easter</x:v>
      </x:c>
      <x:c r="D106" s="41" t="str">
        <x:v>Easter Weekday</x:v>
      </x:c>
      <x:c r="E106" s="41" t="str">
        <x:v>Weekday</x:v>
      </x:c>
      <x:c r="F106" s="42" t="str"/>
      <x:c r="G106" s="42" t="str"/>
      <x:c r="H106" s="42" t="str"/>
      <x:c r="I106" s="42" t="str"/>
      <x:c r="J106" s="42" t="str"/>
      <x:c r="K106" s="42" t="str"/>
      <x:c r="L106" s="42" t="str"/>
      <x:c r="M106" s="42" t="str"/>
      <x:c r="N106" s="42" t="str">
        <x:v>https://www.usccb.org/resources/2026cal.pdf</x:v>
      </x:c>
      <x:c r="O106" s="115" t="e">
        <x:f>HYPERLINK("https://bible.usccb.org/bible/readings/041526.cfm","Open official USCCB readings ↗")</x:f>
        <x:v>HYPERLINK is not implemented. linkLocation=https://bible.usccb.org/bible/readings/041526.cfm, friendlyName=Open official USCCB readings ↗</x:v>
      </x:c>
    </x:row>
    <x:row r="107">
      <x:c r="A107" s="40" t="n">
        <x:v>46128</x:v>
      </x:c>
      <x:c r="B107" s="41" t="str">
        <x:v>Thursday</x:v>
      </x:c>
      <x:c r="C107" s="66" t="str">
        <x:v>Easter</x:v>
      </x:c>
      <x:c r="D107" s="41" t="str">
        <x:v>Easter Weekday</x:v>
      </x:c>
      <x:c r="E107" s="41" t="str">
        <x:v>Weekday</x:v>
      </x:c>
      <x:c r="F107" s="42" t="str"/>
      <x:c r="G107" s="42" t="str"/>
      <x:c r="H107" s="42" t="str"/>
      <x:c r="I107" s="42" t="str"/>
      <x:c r="J107" s="42" t="str"/>
      <x:c r="K107" s="42" t="str"/>
      <x:c r="L107" s="42" t="str"/>
      <x:c r="M107" s="42" t="str"/>
      <x:c r="N107" s="42" t="str">
        <x:v>https://www.usccb.org/resources/2026cal.pdf</x:v>
      </x:c>
      <x:c r="O107" s="115" t="e">
        <x:f>HYPERLINK("https://bible.usccb.org/bible/readings/041626.cfm","Open official USCCB readings ↗")</x:f>
        <x:v>HYPERLINK is not implemented. linkLocation=https://bible.usccb.org/bible/readings/041626.cfm, friendlyName=Open official USCCB readings ↗</x:v>
      </x:c>
    </x:row>
    <x:row r="108">
      <x:c r="A108" s="40" t="n">
        <x:v>46129</x:v>
      </x:c>
      <x:c r="B108" s="41" t="str">
        <x:v>Friday</x:v>
      </x:c>
      <x:c r="C108" s="66" t="str">
        <x:v>Easter</x:v>
      </x:c>
      <x:c r="D108" s="41" t="str">
        <x:v>Easter Weekday</x:v>
      </x:c>
      <x:c r="E108" s="41" t="str">
        <x:v>Weekday</x:v>
      </x:c>
      <x:c r="F108" s="42" t="str"/>
      <x:c r="G108" s="42" t="str">
        <x:v>Ⓟ</x:v>
      </x:c>
      <x:c r="H108" s="42" t="str"/>
      <x:c r="I108" s="42" t="str"/>
      <x:c r="J108" s="56" t="str">
        <x:v>Friday penance — outside Lent, U.S. Catholics may choose an appropriate penitential practice</x:v>
      </x:c>
      <x:c r="K108" s="42" t="str"/>
      <x:c r="L108" s="42" t="str"/>
      <x:c r="M108" s="42" t="str"/>
      <x:c r="N108" s="42" t="str">
        <x:v>https://www.usccb.org/resources/2026cal.pdf
https://www.usccb.org/prayer-and-worship/liturgical-year-and-calendar/lent/catholic-information-on-lenten-fast-and-abstinence</x:v>
      </x:c>
      <x:c r="O108" s="115" t="e">
        <x:f>HYPERLINK("https://bible.usccb.org/bible/readings/041726.cfm","Open official USCCB readings ↗")</x:f>
        <x:v>HYPERLINK is not implemented. linkLocation=https://bible.usccb.org/bible/readings/041726.cfm, friendlyName=Open official USCCB readings ↗</x:v>
      </x:c>
    </x:row>
    <x:row r="109">
      <x:c r="A109" s="40" t="n">
        <x:v>46130</x:v>
      </x:c>
      <x:c r="B109" s="41" t="str">
        <x:v>Saturday</x:v>
      </x:c>
      <x:c r="C109" s="66" t="str">
        <x:v>Easter</x:v>
      </x:c>
      <x:c r="D109" s="41" t="str">
        <x:v>Easter Weekday</x:v>
      </x:c>
      <x:c r="E109" s="41" t="str">
        <x:v>Weekday</x:v>
      </x:c>
      <x:c r="F109" s="42" t="str"/>
      <x:c r="G109" s="42" t="str"/>
      <x:c r="H109" s="42" t="str"/>
      <x:c r="I109" s="42" t="str"/>
      <x:c r="J109" s="42" t="str"/>
      <x:c r="K109" s="42" t="str"/>
      <x:c r="L109" s="42" t="str"/>
      <x:c r="M109" s="42" t="str"/>
      <x:c r="N109" s="42" t="str">
        <x:v>https://www.usccb.org/resources/2026cal.pdf</x:v>
      </x:c>
      <x:c r="O109" s="115" t="e">
        <x:f>HYPERLINK("https://bible.usccb.org/bible/readings/041826.cfm","Open official USCCB readings ↗")</x:f>
        <x:v>HYPERLINK is not implemented. linkLocation=https://bible.usccb.org/bible/readings/041826.cfm, friendlyName=Open official USCCB readings ↗</x:v>
      </x:c>
    </x:row>
    <x:row r="110">
      <x:c r="A110" s="40" t="n">
        <x:v>46131</x:v>
      </x:c>
      <x:c r="B110" s="41" t="str">
        <x:v>Sunday</x:v>
      </x:c>
      <x:c r="C110" s="66" t="str">
        <x:v>Easter</x:v>
      </x:c>
      <x:c r="D110" s="41" t="str">
        <x:v>Third Sunday of Easter</x:v>
      </x:c>
      <x:c r="E110" s="41" t="str">
        <x:v>Sunday</x:v>
      </x:c>
      <x:c r="F110" s="42" t="str"/>
      <x:c r="G110" s="42" t="str">
        <x:v>⛪</x:v>
      </x:c>
      <x:c r="H110" s="52" t="str">
        <x:v>⛪ Sunday Mass obligation</x:v>
      </x:c>
      <x:c r="I110" s="42" t="str"/>
      <x:c r="J110" s="42" t="str"/>
      <x:c r="K110" s="42" t="str"/>
      <x:c r="L110" s="42" t="str"/>
      <x:c r="M110" s="42" t="str"/>
      <x:c r="N110" s="42" t="str">
        <x:v>https://www.usccb.org/resources/2026cal.pdf
https://www.usccb.org/beliefs-and-teachings/what-we-believe/canon-law/complementary-norms/canon-1246</x:v>
      </x:c>
      <x:c r="O110" s="115" t="e">
        <x:f>HYPERLINK("https://bible.usccb.org/bible/readings/041926.cfm","Open official USCCB readings ↗")</x:f>
        <x:v>HYPERLINK is not implemented. linkLocation=https://bible.usccb.org/bible/readings/041926.cfm, friendlyName=Open official USCCB readings ↗</x:v>
      </x:c>
    </x:row>
    <x:row r="111">
      <x:c r="A111" s="40" t="n">
        <x:v>46132</x:v>
      </x:c>
      <x:c r="B111" s="41" t="str">
        <x:v>Monday</x:v>
      </x:c>
      <x:c r="C111" s="66" t="str">
        <x:v>Easter</x:v>
      </x:c>
      <x:c r="D111" s="41" t="str">
        <x:v>Easter Weekday</x:v>
      </x:c>
      <x:c r="E111" s="41" t="str">
        <x:v>Weekday</x:v>
      </x:c>
      <x:c r="F111" s="42" t="str"/>
      <x:c r="G111" s="42" t="str"/>
      <x:c r="H111" s="42" t="str"/>
      <x:c r="I111" s="42" t="str"/>
      <x:c r="J111" s="42" t="str"/>
      <x:c r="K111" s="42" t="str"/>
      <x:c r="L111" s="42" t="str"/>
      <x:c r="M111" s="42" t="str"/>
      <x:c r="N111" s="42" t="str">
        <x:v>https://www.usccb.org/resources/2026cal.pdf</x:v>
      </x:c>
      <x:c r="O111" s="115" t="e">
        <x:f>HYPERLINK("https://bible.usccb.org/bible/readings/042026.cfm","Open official USCCB readings ↗")</x:f>
        <x:v>HYPERLINK is not implemented. linkLocation=https://bible.usccb.org/bible/readings/042026.cfm, friendlyName=Open official USCCB readings ↗</x:v>
      </x:c>
    </x:row>
    <x:row r="112">
      <x:c r="A112" s="40" t="n">
        <x:v>46133</x:v>
      </x:c>
      <x:c r="B112" s="41" t="str">
        <x:v>Tuesday</x:v>
      </x:c>
      <x:c r="C112" s="66" t="str">
        <x:v>Easter</x:v>
      </x:c>
      <x:c r="D112" s="41" t="str">
        <x:v>Easter Weekday</x:v>
      </x:c>
      <x:c r="E112" s="41" t="str">
        <x:v>Weekday</x:v>
      </x:c>
      <x:c r="F112" s="42" t="str">
        <x:v>Saint Anselm [Optional Memorial]</x:v>
      </x:c>
      <x:c r="G112" s="42" t="str">
        <x:v>✦</x:v>
      </x:c>
      <x:c r="H112" s="42" t="str"/>
      <x:c r="I112" s="42" t="str"/>
      <x:c r="J112" s="42" t="str"/>
      <x:c r="K112" s="42" t="str"/>
      <x:c r="L112" s="42" t="str"/>
      <x:c r="M112" s="42" t="str"/>
      <x:c r="N112" s="42" t="str">
        <x:v>https://www.usccb.org/resources/2026cal.pdf</x:v>
      </x:c>
      <x:c r="O112" s="115" t="e">
        <x:f>HYPERLINK("https://bible.usccb.org/bible/readings/042126.cfm","Open official USCCB readings ↗")</x:f>
        <x:v>HYPERLINK is not implemented. linkLocation=https://bible.usccb.org/bible/readings/042126.cfm, friendlyName=Open official USCCB readings ↗</x:v>
      </x:c>
    </x:row>
    <x:row r="113">
      <x:c r="A113" s="40" t="n">
        <x:v>46134</x:v>
      </x:c>
      <x:c r="B113" s="41" t="str">
        <x:v>Wednesday</x:v>
      </x:c>
      <x:c r="C113" s="66" t="str">
        <x:v>Easter</x:v>
      </x:c>
      <x:c r="D113" s="41" t="str">
        <x:v>Easter Weekday</x:v>
      </x:c>
      <x:c r="E113" s="41" t="str">
        <x:v>Weekday</x:v>
      </x:c>
      <x:c r="F113" s="42" t="str"/>
      <x:c r="G113" s="42" t="str"/>
      <x:c r="H113" s="42" t="str"/>
      <x:c r="I113" s="42" t="str"/>
      <x:c r="J113" s="42" t="str"/>
      <x:c r="K113" s="42" t="str"/>
      <x:c r="L113" s="42" t="str"/>
      <x:c r="M113" s="42" t="str"/>
      <x:c r="N113" s="42" t="str">
        <x:v>https://www.usccb.org/resources/2026cal.pdf</x:v>
      </x:c>
      <x:c r="O113" s="115" t="e">
        <x:f>HYPERLINK("https://bible.usccb.org/bible/readings/042226.cfm","Open official USCCB readings ↗")</x:f>
        <x:v>HYPERLINK is not implemented. linkLocation=https://bible.usccb.org/bible/readings/042226.cfm, friendlyName=Open official USCCB readings ↗</x:v>
      </x:c>
    </x:row>
    <x:row r="114">
      <x:c r="A114" s="40" t="n">
        <x:v>46135</x:v>
      </x:c>
      <x:c r="B114" s="41" t="str">
        <x:v>Thursday</x:v>
      </x:c>
      <x:c r="C114" s="66" t="str">
        <x:v>Easter</x:v>
      </x:c>
      <x:c r="D114" s="41" t="str">
        <x:v>Easter Weekday</x:v>
      </x:c>
      <x:c r="E114" s="41" t="str">
        <x:v>Weekday</x:v>
      </x:c>
      <x:c r="F114" s="42" t="str">
        <x:v>Saint George; Saint Adalbert [Optional Memorial]</x:v>
      </x:c>
      <x:c r="G114" s="42" t="str">
        <x:v>✦</x:v>
      </x:c>
      <x:c r="H114" s="42" t="str"/>
      <x:c r="I114" s="42" t="str"/>
      <x:c r="J114" s="42" t="str"/>
      <x:c r="K114" s="42" t="str"/>
      <x:c r="L114" s="42" t="str"/>
      <x:c r="M114" s="42" t="str"/>
      <x:c r="N114" s="42" t="str">
        <x:v>https://www.usccb.org/resources/2026cal.pdf</x:v>
      </x:c>
      <x:c r="O114" s="115" t="e">
        <x:f>HYPERLINK("https://bible.usccb.org/bible/readings/042326.cfm","Open official USCCB readings ↗")</x:f>
        <x:v>HYPERLINK is not implemented. linkLocation=https://bible.usccb.org/bible/readings/042326.cfm, friendlyName=Open official USCCB readings ↗</x:v>
      </x:c>
    </x:row>
    <x:row r="115">
      <x:c r="A115" s="40" t="n">
        <x:v>46136</x:v>
      </x:c>
      <x:c r="B115" s="41" t="str">
        <x:v>Friday</x:v>
      </x:c>
      <x:c r="C115" s="66" t="str">
        <x:v>Easter</x:v>
      </x:c>
      <x:c r="D115" s="41" t="str">
        <x:v>Easter Weekday</x:v>
      </x:c>
      <x:c r="E115" s="41" t="str">
        <x:v>Weekday</x:v>
      </x:c>
      <x:c r="F115" s="42" t="str">
        <x:v>Saint Fidelis of Sigmaringen [Optional Memorial]</x:v>
      </x:c>
      <x:c r="G115" s="42" t="str">
        <x:v>✦ Ⓟ</x:v>
      </x:c>
      <x:c r="H115" s="42" t="str"/>
      <x:c r="I115" s="42" t="str"/>
      <x:c r="J115" s="56" t="str">
        <x:v>Friday penance — outside Lent, U.S. Catholics may choose an appropriate penitential practice</x:v>
      </x:c>
      <x:c r="K115" s="42" t="str"/>
      <x:c r="L115" s="42" t="str"/>
      <x:c r="M115" s="42" t="str"/>
      <x:c r="N115" s="42" t="str">
        <x:v>https://www.usccb.org/resources/2026cal.pdf
https://www.usccb.org/prayer-and-worship/liturgical-year-and-calendar/lent/catholic-information-on-lenten-fast-and-abstinence</x:v>
      </x:c>
      <x:c r="O115" s="115" t="e">
        <x:f>HYPERLINK("https://bible.usccb.org/bible/readings/042426.cfm","Open official USCCB readings ↗")</x:f>
        <x:v>HYPERLINK is not implemented. linkLocation=https://bible.usccb.org/bible/readings/042426.cfm, friendlyName=Open official USCCB readings ↗</x:v>
      </x:c>
    </x:row>
    <x:row r="116">
      <x:c r="A116" s="40" t="n">
        <x:v>46137</x:v>
      </x:c>
      <x:c r="B116" s="41" t="str">
        <x:v>Saturday</x:v>
      </x:c>
      <x:c r="C116" s="66" t="str">
        <x:v>Easter</x:v>
      </x:c>
      <x:c r="D116" s="41" t="str">
        <x:v>Saint Mark, Evangelist</x:v>
      </x:c>
      <x:c r="E116" s="41" t="str">
        <x:v>Feast</x:v>
      </x:c>
      <x:c r="F116" s="42" t="str">
        <x:v>Saint Mark, Evangelist [Feast]</x:v>
      </x:c>
      <x:c r="G116" s="42" t="str">
        <x:v>★ ✦ 🕯</x:v>
      </x:c>
      <x:c r="H116" s="42" t="str"/>
      <x:c r="I116" s="42" t="str"/>
      <x:c r="J116" s="42" t="str"/>
      <x:c r="K116" s="58" t="str">
        <x:v>🕯 Major Rogation — historical Roman observance</x:v>
      </x:c>
      <x:c r="L116" s="42" t="str"/>
      <x:c r="M116" s="42" t="str"/>
      <x:c r="N116" s="42" t="str">
        <x:v>https://www.usccb.org/resources/2026cal.pdf
https://www.newadvent.org/cathen/13110b.htm</x:v>
      </x:c>
      <x:c r="O116" s="115" t="e">
        <x:f>HYPERLINK("https://bible.usccb.org/bible/readings/042526.cfm","Open official USCCB readings ↗")</x:f>
        <x:v>HYPERLINK is not implemented. linkLocation=https://bible.usccb.org/bible/readings/042526.cfm, friendlyName=Open official USCCB readings ↗</x:v>
      </x:c>
    </x:row>
    <x:row r="117">
      <x:c r="A117" s="40" t="n">
        <x:v>46138</x:v>
      </x:c>
      <x:c r="B117" s="41" t="str">
        <x:v>Sunday</x:v>
      </x:c>
      <x:c r="C117" s="66" t="str">
        <x:v>Easter</x:v>
      </x:c>
      <x:c r="D117" s="41" t="str">
        <x:v>Fourth Sunday of Easter</x:v>
      </x:c>
      <x:c r="E117" s="41" t="str">
        <x:v>Sunday</x:v>
      </x:c>
      <x:c r="F117" s="42" t="str"/>
      <x:c r="G117" s="42" t="str">
        <x:v>⛪</x:v>
      </x:c>
      <x:c r="H117" s="52" t="str">
        <x:v>⛪ Sunday Mass obligation</x:v>
      </x:c>
      <x:c r="I117" s="42" t="str"/>
      <x:c r="J117" s="42" t="str"/>
      <x:c r="K117" s="42" t="str"/>
      <x:c r="L117" s="42" t="str"/>
      <x:c r="M117" s="42" t="str"/>
      <x:c r="N117" s="42" t="str">
        <x:v>https://www.usccb.org/resources/2026cal.pdf
https://www.usccb.org/beliefs-and-teachings/what-we-believe/canon-law/complementary-norms/canon-1246</x:v>
      </x:c>
      <x:c r="O117" s="115" t="e">
        <x:f>HYPERLINK("https://bible.usccb.org/bible/readings/042626.cfm","Open official USCCB readings ↗")</x:f>
        <x:v>HYPERLINK is not implemented. linkLocation=https://bible.usccb.org/bible/readings/042626.cfm, friendlyName=Open official USCCB readings ↗</x:v>
      </x:c>
    </x:row>
    <x:row r="118">
      <x:c r="A118" s="40" t="n">
        <x:v>46139</x:v>
      </x:c>
      <x:c r="B118" s="41" t="str">
        <x:v>Monday</x:v>
      </x:c>
      <x:c r="C118" s="66" t="str">
        <x:v>Easter</x:v>
      </x:c>
      <x:c r="D118" s="41" t="str">
        <x:v>Easter Weekday</x:v>
      </x:c>
      <x:c r="E118" s="41" t="str">
        <x:v>Weekday</x:v>
      </x:c>
      <x:c r="F118" s="42" t="str"/>
      <x:c r="G118" s="42" t="str"/>
      <x:c r="H118" s="42" t="str"/>
      <x:c r="I118" s="42" t="str"/>
      <x:c r="J118" s="42" t="str"/>
      <x:c r="K118" s="42" t="str"/>
      <x:c r="L118" s="42" t="str"/>
      <x:c r="M118" s="42" t="str"/>
      <x:c r="N118" s="42" t="str">
        <x:v>https://www.usccb.org/resources/2026cal.pdf</x:v>
      </x:c>
      <x:c r="O118" s="115" t="e">
        <x:f>HYPERLINK("https://bible.usccb.org/bible/readings/042726.cfm","Open official USCCB readings ↗")</x:f>
        <x:v>HYPERLINK is not implemented. linkLocation=https://bible.usccb.org/bible/readings/042726.cfm, friendlyName=Open official USCCB readings ↗</x:v>
      </x:c>
    </x:row>
    <x:row r="119">
      <x:c r="A119" s="40" t="n">
        <x:v>46140</x:v>
      </x:c>
      <x:c r="B119" s="41" t="str">
        <x:v>Tuesday</x:v>
      </x:c>
      <x:c r="C119" s="66" t="str">
        <x:v>Easter</x:v>
      </x:c>
      <x:c r="D119" s="41" t="str">
        <x:v>Easter Weekday</x:v>
      </x:c>
      <x:c r="E119" s="41" t="str">
        <x:v>Weekday</x:v>
      </x:c>
      <x:c r="F119" s="42" t="str">
        <x:v>Saint Peter Chanel; Saint Louis Grignion de Montfort [Optional Memorial]</x:v>
      </x:c>
      <x:c r="G119" s="42" t="str">
        <x:v>✦</x:v>
      </x:c>
      <x:c r="H119" s="42" t="str"/>
      <x:c r="I119" s="42" t="str"/>
      <x:c r="J119" s="42" t="str"/>
      <x:c r="K119" s="42" t="str"/>
      <x:c r="L119" s="42" t="str"/>
      <x:c r="M119" s="42" t="str"/>
      <x:c r="N119" s="42" t="str">
        <x:v>https://www.usccb.org/resources/2026cal.pdf</x:v>
      </x:c>
      <x:c r="O119" s="115" t="e">
        <x:f>HYPERLINK("https://bible.usccb.org/bible/readings/042826.cfm","Open official USCCB readings ↗")</x:f>
        <x:v>HYPERLINK is not implemented. linkLocation=https://bible.usccb.org/bible/readings/042826.cfm, friendlyName=Open official USCCB readings ↗</x:v>
      </x:c>
    </x:row>
    <x:row r="120">
      <x:c r="A120" s="40" t="n">
        <x:v>46141</x:v>
      </x:c>
      <x:c r="B120" s="41" t="str">
        <x:v>Wednesday</x:v>
      </x:c>
      <x:c r="C120" s="66" t="str">
        <x:v>Easter</x:v>
      </x:c>
      <x:c r="D120" s="41" t="str">
        <x:v>Saint Catherine of Siena</x:v>
      </x:c>
      <x:c r="E120" s="41" t="str">
        <x:v>Memorial</x:v>
      </x:c>
      <x:c r="F120" s="42" t="str">
        <x:v>Saint Catherine of Siena [Memorial]</x:v>
      </x:c>
      <x:c r="G120" s="42" t="str">
        <x:v>✦</x:v>
      </x:c>
      <x:c r="H120" s="42" t="str"/>
      <x:c r="I120" s="42" t="str"/>
      <x:c r="J120" s="42" t="str"/>
      <x:c r="K120" s="42" t="str"/>
      <x:c r="L120" s="42" t="str"/>
      <x:c r="M120" s="42" t="str"/>
      <x:c r="N120" s="42" t="str">
        <x:v>https://www.usccb.org/resources/2026cal.pdf</x:v>
      </x:c>
      <x:c r="O120" s="115" t="e">
        <x:f>HYPERLINK("https://bible.usccb.org/bible/readings/042926.cfm","Open official USCCB readings ↗")</x:f>
        <x:v>HYPERLINK is not implemented. linkLocation=https://bible.usccb.org/bible/readings/042926.cfm, friendlyName=Open official USCCB readings ↗</x:v>
      </x:c>
    </x:row>
    <x:row r="121">
      <x:c r="A121" s="40" t="n">
        <x:v>46142</x:v>
      </x:c>
      <x:c r="B121" s="41" t="str">
        <x:v>Thursday</x:v>
      </x:c>
      <x:c r="C121" s="66" t="str">
        <x:v>Easter</x:v>
      </x:c>
      <x:c r="D121" s="41" t="str">
        <x:v>Easter Weekday</x:v>
      </x:c>
      <x:c r="E121" s="41" t="str">
        <x:v>Weekday</x:v>
      </x:c>
      <x:c r="F121" s="42" t="str">
        <x:v>Saint Pius V [Optional Memorial]</x:v>
      </x:c>
      <x:c r="G121" s="42" t="str">
        <x:v>✦</x:v>
      </x:c>
      <x:c r="H121" s="42" t="str"/>
      <x:c r="I121" s="42" t="str"/>
      <x:c r="J121" s="42" t="str"/>
      <x:c r="K121" s="42" t="str"/>
      <x:c r="L121" s="42" t="str"/>
      <x:c r="M121" s="42" t="str"/>
      <x:c r="N121" s="42" t="str">
        <x:v>https://www.usccb.org/resources/2026cal.pdf</x:v>
      </x:c>
      <x:c r="O121" s="115" t="e">
        <x:f>HYPERLINK("https://bible.usccb.org/bible/readings/043026.cfm","Open official USCCB readings ↗")</x:f>
        <x:v>HYPERLINK is not implemented. linkLocation=https://bible.usccb.org/bible/readings/043026.cfm, friendlyName=Open official USCCB readings ↗</x:v>
      </x:c>
    </x:row>
    <x:row r="122">
      <x:c r="A122" s="40" t="n">
        <x:v>46143</x:v>
      </x:c>
      <x:c r="B122" s="41" t="str">
        <x:v>Friday</x:v>
      </x:c>
      <x:c r="C122" s="66" t="str">
        <x:v>Easter</x:v>
      </x:c>
      <x:c r="D122" s="41" t="str">
        <x:v>Easter Weekday</x:v>
      </x:c>
      <x:c r="E122" s="41" t="str">
        <x:v>Weekday</x:v>
      </x:c>
      <x:c r="F122" s="42" t="str">
        <x:v>Saint Joseph the Worker [Optional Memorial]</x:v>
      </x:c>
      <x:c r="G122" s="42" t="str">
        <x:v>✦ 🙏 Ⓟ</x:v>
      </x:c>
      <x:c r="H122" s="42" t="str"/>
      <x:c r="I122" s="54" t="str">
        <x:v>❤ First Friday — Sacred Heart devotion</x:v>
      </x:c>
      <x:c r="J122" s="56" t="str">
        <x:v>Friday penance — outside Lent, U.S. Catholics may choose an appropriate penitential practice</x:v>
      </x:c>
      <x:c r="K122" s="42" t="str"/>
      <x:c r="L122" s="42" t="str"/>
      <x:c r="M122" s="42" t="str"/>
      <x:c r="N122" s="42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122" s="115" t="e">
        <x:f>HYPERLINK("https://bible.usccb.org/bible/readings/050126.cfm","Open official USCCB readings ↗")</x:f>
        <x:v>HYPERLINK is not implemented. linkLocation=https://bible.usccb.org/bible/readings/050126.cfm, friendlyName=Open official USCCB readings ↗</x:v>
      </x:c>
    </x:row>
    <x:row r="123">
      <x:c r="A123" s="40" t="n">
        <x:v>46144</x:v>
      </x:c>
      <x:c r="B123" s="41" t="str">
        <x:v>Saturday</x:v>
      </x:c>
      <x:c r="C123" s="66" t="str">
        <x:v>Easter</x:v>
      </x:c>
      <x:c r="D123" s="41" t="str">
        <x:v>Saint Athanasius</x:v>
      </x:c>
      <x:c r="E123" s="41" t="str">
        <x:v>Memorial</x:v>
      </x:c>
      <x:c r="F123" s="48" t="str">
        <x:v>Saint Athanasius [Memorial]</x:v>
      </x:c>
      <x:c r="G123" s="42" t="str">
        <x:v>✦ 🙏 🌹</x:v>
      </x:c>
      <x:c r="H123" s="42" t="str"/>
      <x:c r="I123" s="54" t="str">
        <x:v>🌹 First Saturday — Immaculate Heart devotion</x:v>
      </x:c>
      <x:c r="J123" s="42" t="str"/>
      <x:c r="K123" s="42" t="str"/>
      <x:c r="L123" s="42" t="str"/>
      <x:c r="M123" s="42" t="str"/>
      <x:c r="N123" s="42" t="str">
        <x:v>https://www.usccb.org/resources/2026cal.pdf
https://www.ewtn.com/catholicism/library/revelation-of-the-immaculate-heart-at-fatima-in-1917-5465</x:v>
      </x:c>
      <x:c r="O123" s="115" t="e">
        <x:f>HYPERLINK("https://bible.usccb.org/bible/readings/050226.cfm","Open official USCCB readings ↗")</x:f>
        <x:v>HYPERLINK is not implemented. linkLocation=https://bible.usccb.org/bible/readings/050226.cfm, friendlyName=Open official USCCB readings ↗</x:v>
      </x:c>
    </x:row>
    <x:row r="124">
      <x:c r="A124" s="40" t="n">
        <x:v>46145</x:v>
      </x:c>
      <x:c r="B124" s="41" t="str">
        <x:v>Sunday</x:v>
      </x:c>
      <x:c r="C124" s="66" t="str">
        <x:v>Easter</x:v>
      </x:c>
      <x:c r="D124" s="41" t="str">
        <x:v>Fifth Sunday of Easter</x:v>
      </x:c>
      <x:c r="E124" s="41" t="str">
        <x:v>Sunday</x:v>
      </x:c>
      <x:c r="F124" s="42" t="str">
        <x:v>Saints Philip and James, Apostles [Feast]</x:v>
      </x:c>
      <x:c r="G124" s="42" t="str">
        <x:v>★ ✦ ⛪</x:v>
      </x:c>
      <x:c r="H124" s="52" t="str">
        <x:v>⛪ Sunday Mass obligation</x:v>
      </x:c>
      <x:c r="I124" s="42" t="str"/>
      <x:c r="J124" s="42" t="str"/>
      <x:c r="K124" s="42" t="str"/>
      <x:c r="L124" s="42" t="str"/>
      <x:c r="M124" s="42" t="str">
        <x:v>A fixed observance also falls today, but the Sunday or higher-ranking celebration takes liturgical precedence.</x:v>
      </x:c>
      <x:c r="N124" s="42" t="str">
        <x:v>https://www.usccb.org/resources/2026cal.pdf
https://www.usccb.org/beliefs-and-teachings/what-we-believe/canon-law/complementary-norms/canon-1246</x:v>
      </x:c>
      <x:c r="O124" s="115" t="e">
        <x:f>HYPERLINK("https://bible.usccb.org/bible/readings/050326.cfm","Open official USCCB readings ↗")</x:f>
        <x:v>HYPERLINK is not implemented. linkLocation=https://bible.usccb.org/bible/readings/050326.cfm, friendlyName=Open official USCCB readings ↗</x:v>
      </x:c>
    </x:row>
    <x:row r="125">
      <x:c r="A125" s="40" t="n">
        <x:v>46146</x:v>
      </x:c>
      <x:c r="B125" s="41" t="str">
        <x:v>Monday</x:v>
      </x:c>
      <x:c r="C125" s="66" t="str">
        <x:v>Easter</x:v>
      </x:c>
      <x:c r="D125" s="41" t="str">
        <x:v>Easter Weekday</x:v>
      </x:c>
      <x:c r="E125" s="41" t="str">
        <x:v>Weekday</x:v>
      </x:c>
      <x:c r="F125" s="42" t="str"/>
      <x:c r="G125" s="42" t="str"/>
      <x:c r="H125" s="42" t="str"/>
      <x:c r="I125" s="42" t="str"/>
      <x:c r="J125" s="42" t="str"/>
      <x:c r="K125" s="42" t="str"/>
      <x:c r="L125" s="42" t="str"/>
      <x:c r="M125" s="42" t="str"/>
      <x:c r="N125" s="42" t="str">
        <x:v>https://www.usccb.org/resources/2026cal.pdf</x:v>
      </x:c>
      <x:c r="O125" s="115" t="e">
        <x:f>HYPERLINK("https://bible.usccb.org/bible/readings/050426.cfm","Open official USCCB readings ↗")</x:f>
        <x:v>HYPERLINK is not implemented. linkLocation=https://bible.usccb.org/bible/readings/050426.cfm, friendlyName=Open official USCCB readings ↗</x:v>
      </x:c>
    </x:row>
    <x:row r="126">
      <x:c r="A126" s="40" t="n">
        <x:v>46147</x:v>
      </x:c>
      <x:c r="B126" s="41" t="str">
        <x:v>Tuesday</x:v>
      </x:c>
      <x:c r="C126" s="66" t="str">
        <x:v>Easter</x:v>
      </x:c>
      <x:c r="D126" s="41" t="str">
        <x:v>Easter Weekday</x:v>
      </x:c>
      <x:c r="E126" s="41" t="str">
        <x:v>Weekday</x:v>
      </x:c>
      <x:c r="F126" s="42" t="str"/>
      <x:c r="G126" s="42" t="str"/>
      <x:c r="H126" s="42" t="str"/>
      <x:c r="I126" s="42" t="str"/>
      <x:c r="J126" s="42" t="str"/>
      <x:c r="K126" s="42" t="str"/>
      <x:c r="L126" s="42" t="str"/>
      <x:c r="M126" s="42" t="str"/>
      <x:c r="N126" s="42" t="str">
        <x:v>https://www.usccb.org/resources/2026cal.pdf</x:v>
      </x:c>
      <x:c r="O126" s="115" t="e">
        <x:f>HYPERLINK("https://bible.usccb.org/bible/readings/050526.cfm","Open official USCCB readings ↗")</x:f>
        <x:v>HYPERLINK is not implemented. linkLocation=https://bible.usccb.org/bible/readings/050526.cfm, friendlyName=Open official USCCB readings ↗</x:v>
      </x:c>
    </x:row>
    <x:row r="127">
      <x:c r="A127" s="40" t="n">
        <x:v>46148</x:v>
      </x:c>
      <x:c r="B127" s="41" t="str">
        <x:v>Wednesday</x:v>
      </x:c>
      <x:c r="C127" s="66" t="str">
        <x:v>Easter</x:v>
      </x:c>
      <x:c r="D127" s="41" t="str">
        <x:v>Easter Weekday</x:v>
      </x:c>
      <x:c r="E127" s="41" t="str">
        <x:v>Weekday</x:v>
      </x:c>
      <x:c r="F127" s="42" t="str"/>
      <x:c r="G127" s="42" t="str"/>
      <x:c r="H127" s="42" t="str"/>
      <x:c r="I127" s="42" t="str"/>
      <x:c r="J127" s="42" t="str"/>
      <x:c r="K127" s="42" t="str"/>
      <x:c r="L127" s="42" t="str"/>
      <x:c r="M127" s="42" t="str"/>
      <x:c r="N127" s="42" t="str">
        <x:v>https://www.usccb.org/resources/2026cal.pdf</x:v>
      </x:c>
      <x:c r="O127" s="115" t="e">
        <x:f>HYPERLINK("https://bible.usccb.org/bible/readings/050626.cfm","Open official USCCB readings ↗")</x:f>
        <x:v>HYPERLINK is not implemented. linkLocation=https://bible.usccb.org/bible/readings/050626.cfm, friendlyName=Open official USCCB readings ↗</x:v>
      </x:c>
    </x:row>
    <x:row r="128">
      <x:c r="A128" s="40" t="n">
        <x:v>46149</x:v>
      </x:c>
      <x:c r="B128" s="41" t="str">
        <x:v>Thursday</x:v>
      </x:c>
      <x:c r="C128" s="66" t="str">
        <x:v>Easter</x:v>
      </x:c>
      <x:c r="D128" s="41" t="str">
        <x:v>Easter Weekday</x:v>
      </x:c>
      <x:c r="E128" s="41" t="str">
        <x:v>Weekday</x:v>
      </x:c>
      <x:c r="F128" s="42" t="str"/>
      <x:c r="G128" s="42" t="str"/>
      <x:c r="H128" s="42" t="str"/>
      <x:c r="I128" s="42" t="str"/>
      <x:c r="J128" s="42" t="str"/>
      <x:c r="K128" s="42" t="str"/>
      <x:c r="L128" s="42" t="str"/>
      <x:c r="M128" s="42" t="str"/>
      <x:c r="N128" s="42" t="str">
        <x:v>https://www.usccb.org/resources/2026cal.pdf</x:v>
      </x:c>
      <x:c r="O128" s="115" t="e">
        <x:f>HYPERLINK("https://bible.usccb.org/bible/readings/050726.cfm","Open official USCCB readings ↗")</x:f>
        <x:v>HYPERLINK is not implemented. linkLocation=https://bible.usccb.org/bible/readings/050726.cfm, friendlyName=Open official USCCB readings ↗</x:v>
      </x:c>
    </x:row>
    <x:row r="129">
      <x:c r="A129" s="40" t="n">
        <x:v>46150</x:v>
      </x:c>
      <x:c r="B129" s="41" t="str">
        <x:v>Friday</x:v>
      </x:c>
      <x:c r="C129" s="66" t="str">
        <x:v>Easter</x:v>
      </x:c>
      <x:c r="D129" s="41" t="str">
        <x:v>Easter Weekday</x:v>
      </x:c>
      <x:c r="E129" s="41" t="str">
        <x:v>Weekday</x:v>
      </x:c>
      <x:c r="F129" s="42" t="str"/>
      <x:c r="G129" s="42" t="str">
        <x:v>Ⓟ</x:v>
      </x:c>
      <x:c r="H129" s="42" t="str"/>
      <x:c r="I129" s="42" t="str"/>
      <x:c r="J129" s="56" t="str">
        <x:v>Friday penance — outside Lent, U.S. Catholics may choose an appropriate penitential practice</x:v>
      </x:c>
      <x:c r="K129" s="42" t="str"/>
      <x:c r="L129" s="42" t="str"/>
      <x:c r="M129" s="42" t="str"/>
      <x:c r="N129" s="42" t="str">
        <x:v>https://www.usccb.org/resources/2026cal.pdf
https://www.usccb.org/prayer-and-worship/liturgical-year-and-calendar/lent/catholic-information-on-lenten-fast-and-abstinence</x:v>
      </x:c>
      <x:c r="O129" s="115" t="e">
        <x:f>HYPERLINK("https://bible.usccb.org/bible/readings/050826.cfm","Open official USCCB readings ↗")</x:f>
        <x:v>HYPERLINK is not implemented. linkLocation=https://bible.usccb.org/bible/readings/050826.cfm, friendlyName=Open official USCCB readings ↗</x:v>
      </x:c>
    </x:row>
    <x:row r="130">
      <x:c r="A130" s="40" t="n">
        <x:v>46151</x:v>
      </x:c>
      <x:c r="B130" s="41" t="str">
        <x:v>Saturday</x:v>
      </x:c>
      <x:c r="C130" s="66" t="str">
        <x:v>Easter</x:v>
      </x:c>
      <x:c r="D130" s="41" t="str">
        <x:v>Easter Weekday</x:v>
      </x:c>
      <x:c r="E130" s="41" t="str">
        <x:v>Weekday</x:v>
      </x:c>
      <x:c r="F130" s="42" t="str"/>
      <x:c r="G130" s="42" t="str"/>
      <x:c r="H130" s="42" t="str"/>
      <x:c r="I130" s="42" t="str"/>
      <x:c r="J130" s="42" t="str"/>
      <x:c r="K130" s="42" t="str"/>
      <x:c r="L130" s="42" t="str"/>
      <x:c r="M130" s="42" t="str"/>
      <x:c r="N130" s="42" t="str">
        <x:v>https://www.usccb.org/resources/2026cal.pdf</x:v>
      </x:c>
      <x:c r="O130" s="115" t="e">
        <x:f>HYPERLINK("https://bible.usccb.org/bible/readings/050926.cfm","Open official USCCB readings ↗")</x:f>
        <x:v>HYPERLINK is not implemented. linkLocation=https://bible.usccb.org/bible/readings/050926.cfm, friendlyName=Open official USCCB readings ↗</x:v>
      </x:c>
    </x:row>
    <x:row r="131">
      <x:c r="A131" s="40" t="n">
        <x:v>46152</x:v>
      </x:c>
      <x:c r="B131" s="41" t="str">
        <x:v>Sunday</x:v>
      </x:c>
      <x:c r="C131" s="66" t="str">
        <x:v>Easter</x:v>
      </x:c>
      <x:c r="D131" s="41" t="str">
        <x:v>Sixth Sunday of Easter</x:v>
      </x:c>
      <x:c r="E131" s="41" t="str">
        <x:v>Sunday</x:v>
      </x:c>
      <x:c r="F131" s="42" t="str">
        <x:v>Saint John of Avila; Saint Damien de Veuster [Optional Memorial]</x:v>
      </x:c>
      <x:c r="G131" s="42" t="str">
        <x:v>✦ ⛪</x:v>
      </x:c>
      <x:c r="H131" s="52" t="str">
        <x:v>⛪ Sunday Mass obligation</x:v>
      </x:c>
      <x:c r="I131" s="42" t="str"/>
      <x:c r="J131" s="42" t="str"/>
      <x:c r="K131" s="42" t="str"/>
      <x:c r="L131" s="42" t="str"/>
      <x:c r="M131" s="42" t="str">
        <x:v>A fixed observance also falls today, but the Sunday or higher-ranking celebration takes liturgical precedence.</x:v>
      </x:c>
      <x:c r="N131" s="42" t="str">
        <x:v>https://www.usccb.org/resources/2026cal.pdf
https://www.usccb.org/beliefs-and-teachings/what-we-believe/canon-law/complementary-norms/canon-1246</x:v>
      </x:c>
      <x:c r="O131" s="115" t="e">
        <x:f>HYPERLINK("https://bible.usccb.org/bible/readings/051026.cfm","Open official USCCB readings ↗")</x:f>
        <x:v>HYPERLINK is not implemented. linkLocation=https://bible.usccb.org/bible/readings/051026.cfm, friendlyName=Open official USCCB readings ↗</x:v>
      </x:c>
    </x:row>
    <x:row r="132">
      <x:c r="A132" s="40" t="n">
        <x:v>46153</x:v>
      </x:c>
      <x:c r="B132" s="41" t="str">
        <x:v>Monday</x:v>
      </x:c>
      <x:c r="C132" s="66" t="str">
        <x:v>Easter</x:v>
      </x:c>
      <x:c r="D132" s="41" t="str">
        <x:v>Easter Weekday</x:v>
      </x:c>
      <x:c r="E132" s="41" t="str">
        <x:v>Weekday</x:v>
      </x:c>
      <x:c r="F132" s="42" t="str"/>
      <x:c r="G132" s="42" t="str">
        <x:v>🕯</x:v>
      </x:c>
      <x:c r="H132" s="42" t="str"/>
      <x:c r="I132" s="42" t="str"/>
      <x:c r="J132" s="42" t="str"/>
      <x:c r="K132" s="58" t="str">
        <x:v>🕯 Minor Rogation Day — historical observance</x:v>
      </x:c>
      <x:c r="L132" s="42" t="str"/>
      <x:c r="M132" s="42" t="str"/>
      <x:c r="N132" s="42" t="str">
        <x:v>https://www.usccb.org/resources/2026cal.pdf
https://www.newadvent.org/cathen/13110b.htm</x:v>
      </x:c>
      <x:c r="O132" s="115" t="e">
        <x:f>HYPERLINK("https://bible.usccb.org/bible/readings/051126.cfm","Open official USCCB readings ↗")</x:f>
        <x:v>HYPERLINK is not implemented. linkLocation=https://bible.usccb.org/bible/readings/051126.cfm, friendlyName=Open official USCCB readings ↗</x:v>
      </x:c>
    </x:row>
    <x:row r="133">
      <x:c r="A133" s="40" t="n">
        <x:v>46154</x:v>
      </x:c>
      <x:c r="B133" s="41" t="str">
        <x:v>Tuesday</x:v>
      </x:c>
      <x:c r="C133" s="66" t="str">
        <x:v>Easter</x:v>
      </x:c>
      <x:c r="D133" s="41" t="str">
        <x:v>Easter Weekday</x:v>
      </x:c>
      <x:c r="E133" s="41" t="str">
        <x:v>Weekday</x:v>
      </x:c>
      <x:c r="F133" s="42" t="str">
        <x:v>Saints Nereus and Achilleus; Saint Pancras [Optional Memorial]</x:v>
      </x:c>
      <x:c r="G133" s="42" t="str">
        <x:v>✦ 🕯</x:v>
      </x:c>
      <x:c r="H133" s="42" t="str"/>
      <x:c r="I133" s="42" t="str"/>
      <x:c r="J133" s="42" t="str"/>
      <x:c r="K133" s="58" t="str">
        <x:v>🕯 Minor Rogation Day — historical observance</x:v>
      </x:c>
      <x:c r="L133" s="42" t="str"/>
      <x:c r="M133" s="42" t="str"/>
      <x:c r="N133" s="42" t="str">
        <x:v>https://www.usccb.org/resources/2026cal.pdf
https://www.newadvent.org/cathen/13110b.htm</x:v>
      </x:c>
      <x:c r="O133" s="115" t="e">
        <x:f>HYPERLINK("https://bible.usccb.org/bible/readings/051226.cfm","Open official USCCB readings ↗")</x:f>
        <x:v>HYPERLINK is not implemented. linkLocation=https://bible.usccb.org/bible/readings/051226.cfm, friendlyName=Open official USCCB readings ↗</x:v>
      </x:c>
    </x:row>
    <x:row r="134">
      <x:c r="A134" s="40" t="n">
        <x:v>46155</x:v>
      </x:c>
      <x:c r="B134" s="41" t="str">
        <x:v>Wednesday</x:v>
      </x:c>
      <x:c r="C134" s="66" t="str">
        <x:v>Easter</x:v>
      </x:c>
      <x:c r="D134" s="41" t="str">
        <x:v>Easter Weekday</x:v>
      </x:c>
      <x:c r="E134" s="41" t="str">
        <x:v>Weekday</x:v>
      </x:c>
      <x:c r="F134" s="48" t="str">
        <x:v>Our Lady of Fatima [Optional Memorial]</x:v>
      </x:c>
      <x:c r="G134" s="42" t="str">
        <x:v>🌹 🕯</x:v>
      </x:c>
      <x:c r="H134" s="42" t="str"/>
      <x:c r="I134" s="42" t="str"/>
      <x:c r="J134" s="42" t="str"/>
      <x:c r="K134" s="58" t="str">
        <x:v>🕯 Minor Rogation Day — historical observance</x:v>
      </x:c>
      <x:c r="L134" s="42" t="str"/>
      <x:c r="M134" s="42" t="str"/>
      <x:c r="N134" s="42" t="str">
        <x:v>https://www.usccb.org/resources/2026cal.pdf
https://www.newadvent.org/cathen/13110b.htm</x:v>
      </x:c>
      <x:c r="O134" s="115" t="e">
        <x:f>HYPERLINK("https://bible.usccb.org/bible/readings/051326.cfm","Open official USCCB readings ↗")</x:f>
        <x:v>HYPERLINK is not implemented. linkLocation=https://bible.usccb.org/bible/readings/051326.cfm, friendlyName=Open official USCCB readings ↗</x:v>
      </x:c>
    </x:row>
    <x:row r="135">
      <x:c r="A135" s="40" t="n">
        <x:v>46156</x:v>
      </x:c>
      <x:c r="B135" s="41" t="str">
        <x:v>Thursday</x:v>
      </x:c>
      <x:c r="C135" s="66" t="str">
        <x:v>Easter</x:v>
      </x:c>
      <x:c r="D135" s="41" t="str">
        <x:v>Saint Matthias, Apostle</x:v>
      </x:c>
      <x:c r="E135" s="41" t="str">
        <x:v>Feast</x:v>
      </x:c>
      <x:c r="F135" s="42" t="str">
        <x:v>Saint Matthias, Apostle [Feast]</x:v>
      </x:c>
      <x:c r="G135" s="42" t="str">
        <x:v>★ ✦</x:v>
      </x:c>
      <x:c r="H135" s="42" t="str"/>
      <x:c r="I135" s="42" t="str"/>
      <x:c r="J135" s="42" t="str"/>
      <x:c r="K135" s="42" t="str"/>
      <x:c r="L135" s="42" t="str"/>
      <x:c r="M135" s="42" t="str"/>
      <x:c r="N135" s="42" t="str">
        <x:v>https://www.usccb.org/resources/2026cal.pdf</x:v>
      </x:c>
      <x:c r="O135" s="115" t="e">
        <x:f>HYPERLINK("https://bible.usccb.org/bible/readings/051426.cfm","Open official USCCB readings ↗")</x:f>
        <x:v>HYPERLINK is not implemented. linkLocation=https://bible.usccb.org/bible/readings/051426.cfm, friendlyName=Open official USCCB readings ↗</x:v>
      </x:c>
    </x:row>
    <x:row r="136">
      <x:c r="A136" s="40" t="n">
        <x:v>46157</x:v>
      </x:c>
      <x:c r="B136" s="41" t="str">
        <x:v>Friday</x:v>
      </x:c>
      <x:c r="C136" s="66" t="str">
        <x:v>Easter</x:v>
      </x:c>
      <x:c r="D136" s="41" t="str">
        <x:v>Easter Weekday</x:v>
      </x:c>
      <x:c r="E136" s="41" t="str">
        <x:v>Weekday</x:v>
      </x:c>
      <x:c r="F136" s="42" t="str">
        <x:v>Saint Isidore [Optional Memorial]</x:v>
      </x:c>
      <x:c r="G136" s="42" t="str">
        <x:v>✦ 🙏 Ⓟ</x:v>
      </x:c>
      <x:c r="H136" s="42" t="str"/>
      <x:c r="I136" s="54" t="str">
        <x:v>🙏 Holy Spirit / Pentecost Novena — Day 1/9 [START]</x:v>
      </x:c>
      <x:c r="J136" s="56" t="str">
        <x:v>Friday penance — outside Lent, U.S. Catholics may choose an appropriate penitential practice</x:v>
      </x:c>
      <x:c r="K136" s="42" t="str"/>
      <x:c r="L136" s="42" t="str">
        <x:v>Popular devotion: Saint Dymphna</x:v>
      </x:c>
      <x:c r="M136" s="42" t="str"/>
      <x:c r="N136" s="42" t="str">
        <x:v>https://www.usccb.org/resources/2026cal.pdf
https://www.vatican.va/content/leo-xiii/en/encyclicals/documents/hf_l-xiii_enc_09051897_divinum-illud-munus.html
https://www.usccb.org/prayer-and-worship/liturgical-year-and-calendar/lent/catholic-information-on-lenten-fast-and-abstinence</x:v>
      </x:c>
      <x:c r="O136" s="115" t="e">
        <x:f>HYPERLINK("https://bible.usccb.org/bible/readings/051526.cfm","Open official USCCB readings ↗")</x:f>
        <x:v>HYPERLINK is not implemented. linkLocation=https://bible.usccb.org/bible/readings/051526.cfm, friendlyName=Open official USCCB readings ↗</x:v>
      </x:c>
    </x:row>
    <x:row r="137">
      <x:c r="A137" s="40" t="n">
        <x:v>46158</x:v>
      </x:c>
      <x:c r="B137" s="41" t="str">
        <x:v>Saturday</x:v>
      </x:c>
      <x:c r="C137" s="66" t="str">
        <x:v>Easter</x:v>
      </x:c>
      <x:c r="D137" s="41" t="str">
        <x:v>Easter Weekday</x:v>
      </x:c>
      <x:c r="E137" s="41" t="str">
        <x:v>Weekday</x:v>
      </x:c>
      <x:c r="F137" s="42" t="str"/>
      <x:c r="G137" s="42" t="str">
        <x:v>🙏</x:v>
      </x:c>
      <x:c r="H137" s="42" t="str"/>
      <x:c r="I137" s="54" t="str">
        <x:v>🙏 Holy Spirit / Pentecost Novena — Day 2/9</x:v>
      </x:c>
      <x:c r="J137" s="42" t="str"/>
      <x:c r="K137" s="42" t="str"/>
      <x:c r="L137" s="42" t="str"/>
      <x:c r="M137" s="42" t="str"/>
      <x:c r="N137" s="42" t="str">
        <x:v>https://www.usccb.org/resources/2026cal.pdf
https://www.vatican.va/content/leo-xiii/en/encyclicals/documents/hf_l-xiii_enc_09051897_divinum-illud-munus.html</x:v>
      </x:c>
      <x:c r="O137" s="115" t="e">
        <x:f>HYPERLINK("https://bible.usccb.org/bible/readings/051626.cfm","Open official USCCB readings ↗")</x:f>
        <x:v>HYPERLINK is not implemented. linkLocation=https://bible.usccb.org/bible/readings/051626.cfm, friendlyName=Open official USCCB readings ↗</x:v>
      </x:c>
    </x:row>
    <x:row r="138">
      <x:c r="A138" s="40" t="n">
        <x:v>46159</x:v>
      </x:c>
      <x:c r="B138" s="41" t="str">
        <x:v>Sunday</x:v>
      </x:c>
      <x:c r="C138" s="66" t="str">
        <x:v>Easter</x:v>
      </x:c>
      <x:c r="D138" s="41" t="str">
        <x:v>Ascension of the Lord — celebrated Sunday in most U.S. provinces</x:v>
      </x:c>
      <x:c r="E138" s="41" t="str">
        <x:v>Solemnity</x:v>
      </x:c>
      <x:c r="F138" s="42" t="str"/>
      <x:c r="G138" s="42" t="str">
        <x:v>★ ✝ ⛪ 🙏</x:v>
      </x:c>
      <x:c r="H138" s="52" t="str">
        <x:v>⛪ Sunday Mass obligation</x:v>
      </x:c>
      <x:c r="I138" s="54" t="str">
        <x:v>🙏 Holy Spirit / Pentecost Novena — Day 3/9</x:v>
      </x:c>
      <x:c r="J138" s="42" t="str"/>
      <x:c r="K138" s="42" t="str"/>
      <x:c r="L138" s="42" t="str"/>
      <x:c r="M138" s="42" t="str">
        <x:v>Ascension is celebrated on Sunday in most U.S. ecclesiastical provinces, including Dallas; some U.S. provinces retain Thursday.</x:v>
      </x:c>
      <x:c r="N138" s="42" t="str">
        <x:v>https://www.usccb.org/resources/2026cal.pdf
https://www.usccb.org/beliefs-and-teachings/what-we-believe/canon-law/complementary-norms/canon-1246
https://www.vatican.va/content/leo-xiii/en/encyclicals/documents/hf_l-xiii_enc_09051897_divinum-illud-munus.html</x:v>
      </x:c>
      <x:c r="O138" s="115" t="e">
        <x:f>HYPERLINK("https://bible.usccb.org/bible/readings/051726.cfm","Open official USCCB readings ↗")</x:f>
        <x:v>HYPERLINK is not implemented. linkLocation=https://bible.usccb.org/bible/readings/051726.cfm, friendlyName=Open official USCCB readings ↗</x:v>
      </x:c>
    </x:row>
    <x:row r="139">
      <x:c r="A139" s="40" t="n">
        <x:v>46160</x:v>
      </x:c>
      <x:c r="B139" s="41" t="str">
        <x:v>Monday</x:v>
      </x:c>
      <x:c r="C139" s="66" t="str">
        <x:v>Easter</x:v>
      </x:c>
      <x:c r="D139" s="41" t="str">
        <x:v>Easter Weekday</x:v>
      </x:c>
      <x:c r="E139" s="41" t="str">
        <x:v>Weekday</x:v>
      </x:c>
      <x:c r="F139" s="42" t="str">
        <x:v>Saint John I [Optional Memorial]</x:v>
      </x:c>
      <x:c r="G139" s="42" t="str">
        <x:v>✦ 🙏</x:v>
      </x:c>
      <x:c r="H139" s="42" t="str"/>
      <x:c r="I139" s="54" t="str">
        <x:v>🙏 Holy Spirit / Pentecost Novena — Day 4/9</x:v>
      </x:c>
      <x:c r="J139" s="42" t="str"/>
      <x:c r="K139" s="42" t="str"/>
      <x:c r="L139" s="42" t="str"/>
      <x:c r="M139" s="42" t="str"/>
      <x:c r="N139" s="42" t="str">
        <x:v>https://www.usccb.org/resources/2026cal.pdf
https://www.vatican.va/content/leo-xiii/en/encyclicals/documents/hf_l-xiii_enc_09051897_divinum-illud-munus.html</x:v>
      </x:c>
      <x:c r="O139" s="115" t="e">
        <x:f>HYPERLINK("https://bible.usccb.org/bible/readings/051826.cfm","Open official USCCB readings ↗")</x:f>
        <x:v>HYPERLINK is not implemented. linkLocation=https://bible.usccb.org/bible/readings/051826.cfm, friendlyName=Open official USCCB readings ↗</x:v>
      </x:c>
    </x:row>
    <x:row r="140">
      <x:c r="A140" s="40" t="n">
        <x:v>46161</x:v>
      </x:c>
      <x:c r="B140" s="41" t="str">
        <x:v>Tuesday</x:v>
      </x:c>
      <x:c r="C140" s="66" t="str">
        <x:v>Easter</x:v>
      </x:c>
      <x:c r="D140" s="41" t="str">
        <x:v>Easter Weekday</x:v>
      </x:c>
      <x:c r="E140" s="41" t="str">
        <x:v>Weekday</x:v>
      </x:c>
      <x:c r="F140" s="42" t="str"/>
      <x:c r="G140" s="42" t="str">
        <x:v>🙏</x:v>
      </x:c>
      <x:c r="H140" s="42" t="str"/>
      <x:c r="I140" s="54" t="str">
        <x:v>🙏 Holy Spirit / Pentecost Novena — Day 5/9</x:v>
      </x:c>
      <x:c r="J140" s="42" t="str"/>
      <x:c r="K140" s="42" t="str"/>
      <x:c r="L140" s="42" t="str"/>
      <x:c r="M140" s="42" t="str"/>
      <x:c r="N140" s="42" t="str">
        <x:v>https://www.usccb.org/resources/2026cal.pdf
https://www.vatican.va/content/leo-xiii/en/encyclicals/documents/hf_l-xiii_enc_09051897_divinum-illud-munus.html</x:v>
      </x:c>
      <x:c r="O140" s="115" t="e">
        <x:f>HYPERLINK("https://bible.usccb.org/bible/readings/051926.cfm","Open official USCCB readings ↗")</x:f>
        <x:v>HYPERLINK is not implemented. linkLocation=https://bible.usccb.org/bible/readings/051926.cfm, friendlyName=Open official USCCB readings ↗</x:v>
      </x:c>
    </x:row>
    <x:row r="141">
      <x:c r="A141" s="40" t="n">
        <x:v>46162</x:v>
      </x:c>
      <x:c r="B141" s="41" t="str">
        <x:v>Wednesday</x:v>
      </x:c>
      <x:c r="C141" s="66" t="str">
        <x:v>Easter</x:v>
      </x:c>
      <x:c r="D141" s="41" t="str">
        <x:v>Easter Weekday</x:v>
      </x:c>
      <x:c r="E141" s="41" t="str">
        <x:v>Weekday</x:v>
      </x:c>
      <x:c r="F141" s="42" t="str">
        <x:v>Saint Bernardine of Siena [Optional Memorial]</x:v>
      </x:c>
      <x:c r="G141" s="42" t="str">
        <x:v>✦ 🙏</x:v>
      </x:c>
      <x:c r="H141" s="42" t="str"/>
      <x:c r="I141" s="54" t="str">
        <x:v>🙏 Holy Spirit / Pentecost Novena — Day 6/9</x:v>
      </x:c>
      <x:c r="J141" s="42" t="str"/>
      <x:c r="K141" s="42" t="str"/>
      <x:c r="L141" s="42" t="str"/>
      <x:c r="M141" s="42" t="str"/>
      <x:c r="N141" s="42" t="str">
        <x:v>https://www.usccb.org/resources/2026cal.pdf
https://www.vatican.va/content/leo-xiii/en/encyclicals/documents/hf_l-xiii_enc_09051897_divinum-illud-munus.html</x:v>
      </x:c>
      <x:c r="O141" s="115" t="e">
        <x:f>HYPERLINK("https://bible.usccb.org/bible/readings/052026.cfm","Open official USCCB readings ↗")</x:f>
        <x:v>HYPERLINK is not implemented. linkLocation=https://bible.usccb.org/bible/readings/052026.cfm, friendlyName=Open official USCCB readings ↗</x:v>
      </x:c>
    </x:row>
    <x:row r="142">
      <x:c r="A142" s="40" t="n">
        <x:v>46163</x:v>
      </x:c>
      <x:c r="B142" s="41" t="str">
        <x:v>Thursday</x:v>
      </x:c>
      <x:c r="C142" s="66" t="str">
        <x:v>Easter</x:v>
      </x:c>
      <x:c r="D142" s="41" t="str">
        <x:v>Easter Weekday</x:v>
      </x:c>
      <x:c r="E142" s="41" t="str">
        <x:v>Weekday</x:v>
      </x:c>
      <x:c r="F142" s="42" t="str">
        <x:v>Saint Christopher Magallanes and Companions [Optional Memorial]</x:v>
      </x:c>
      <x:c r="G142" s="42" t="str">
        <x:v>✦ 🙏</x:v>
      </x:c>
      <x:c r="H142" s="42" t="str"/>
      <x:c r="I142" s="54" t="str">
        <x:v>🙏 Holy Spirit / Pentecost Novena — Day 7/9</x:v>
      </x:c>
      <x:c r="J142" s="42" t="str"/>
      <x:c r="K142" s="42" t="str"/>
      <x:c r="L142" s="42" t="str"/>
      <x:c r="M142" s="42" t="str"/>
      <x:c r="N142" s="42" t="str">
        <x:v>https://www.usccb.org/resources/2026cal.pdf
https://www.vatican.va/content/leo-xiii/en/encyclicals/documents/hf_l-xiii_enc_09051897_divinum-illud-munus.html</x:v>
      </x:c>
      <x:c r="O142" s="115" t="e">
        <x:f>HYPERLINK("https://bible.usccb.org/bible/readings/052126.cfm","Open official USCCB readings ↗")</x:f>
        <x:v>HYPERLINK is not implemented. linkLocation=https://bible.usccb.org/bible/readings/052126.cfm, friendlyName=Open official USCCB readings ↗</x:v>
      </x:c>
    </x:row>
    <x:row r="143">
      <x:c r="A143" s="40" t="n">
        <x:v>46164</x:v>
      </x:c>
      <x:c r="B143" s="41" t="str">
        <x:v>Friday</x:v>
      </x:c>
      <x:c r="C143" s="66" t="str">
        <x:v>Easter</x:v>
      </x:c>
      <x:c r="D143" s="41" t="str">
        <x:v>Easter Weekday</x:v>
      </x:c>
      <x:c r="E143" s="41" t="str">
        <x:v>Weekday</x:v>
      </x:c>
      <x:c r="F143" s="42" t="str">
        <x:v>Saint Rita of Cascia [Optional Memorial]</x:v>
      </x:c>
      <x:c r="G143" s="42" t="str">
        <x:v>✦ 🙏 Ⓟ</x:v>
      </x:c>
      <x:c r="H143" s="42" t="str"/>
      <x:c r="I143" s="54" t="str">
        <x:v>🙏 Holy Spirit / Pentecost Novena — Day 8/9</x:v>
      </x:c>
      <x:c r="J143" s="56" t="str">
        <x:v>Friday penance — outside Lent, U.S. Catholics may choose an appropriate penitential practice</x:v>
      </x:c>
      <x:c r="K143" s="42" t="str"/>
      <x:c r="L143" s="42" t="str"/>
      <x:c r="M143" s="42" t="str"/>
      <x:c r="N143" s="42" t="str">
        <x:v>https://www.usccb.org/resources/2026cal.pdf
https://www.vatican.va/content/leo-xiii/en/encyclicals/documents/hf_l-xiii_enc_09051897_divinum-illud-munus.html
https://www.usccb.org/prayer-and-worship/liturgical-year-and-calendar/lent/catholic-information-on-lenten-fast-and-abstinence</x:v>
      </x:c>
      <x:c r="O143" s="115" t="e">
        <x:f>HYPERLINK("https://bible.usccb.org/bible/readings/052226.cfm","Open official USCCB readings ↗")</x:f>
        <x:v>HYPERLINK is not implemented. linkLocation=https://bible.usccb.org/bible/readings/052226.cfm, friendlyName=Open official USCCB readings ↗</x:v>
      </x:c>
    </x:row>
    <x:row r="144">
      <x:c r="A144" s="40" t="n">
        <x:v>46165</x:v>
      </x:c>
      <x:c r="B144" s="41" t="str">
        <x:v>Saturday</x:v>
      </x:c>
      <x:c r="C144" s="66" t="str">
        <x:v>Easter</x:v>
      </x:c>
      <x:c r="D144" s="41" t="str">
        <x:v>Easter Weekday</x:v>
      </x:c>
      <x:c r="E144" s="41" t="str">
        <x:v>Weekday</x:v>
      </x:c>
      <x:c r="F144" s="42" t="str"/>
      <x:c r="G144" s="42" t="str">
        <x:v>🙏</x:v>
      </x:c>
      <x:c r="H144" s="42" t="str"/>
      <x:c r="I144" s="54" t="str">
        <x:v>🙏 Holy Spirit / Pentecost Novena — Day 9/9 [END]</x:v>
      </x:c>
      <x:c r="J144" s="42" t="str"/>
      <x:c r="K144" s="42" t="str"/>
      <x:c r="L144" s="42" t="str"/>
      <x:c r="M144" s="42" t="str"/>
      <x:c r="N144" s="42" t="str">
        <x:v>https://www.usccb.org/resources/2026cal.pdf
https://www.vatican.va/content/leo-xiii/en/encyclicals/documents/hf_l-xiii_enc_09051897_divinum-illud-munus.html</x:v>
      </x:c>
      <x:c r="O144" s="115" t="e">
        <x:f>HYPERLINK("https://bible.usccb.org/bible/readings/052326.cfm","Open official USCCB readings ↗")</x:f>
        <x:v>HYPERLINK is not implemented. linkLocation=https://bible.usccb.org/bible/readings/052326.cfm, friendlyName=Open official USCCB readings ↗</x:v>
      </x:c>
    </x:row>
    <x:row r="145">
      <x:c r="A145" s="40" t="n">
        <x:v>46166</x:v>
      </x:c>
      <x:c r="B145" s="41" t="str">
        <x:v>Sunday</x:v>
      </x:c>
      <x:c r="C145" s="66" t="str">
        <x:v>Easter</x:v>
      </x:c>
      <x:c r="D145" s="41" t="str">
        <x:v>Pentecost Sunday</x:v>
      </x:c>
      <x:c r="E145" s="41" t="str">
        <x:v>Solemnity</x:v>
      </x:c>
      <x:c r="F145" s="42" t="str"/>
      <x:c r="G145" s="42" t="str">
        <x:v>★ ✝ ⛪</x:v>
      </x:c>
      <x:c r="H145" s="52" t="str">
        <x:v>⛪ Sunday Mass obligation</x:v>
      </x:c>
      <x:c r="I145" s="42" t="str"/>
      <x:c r="J145" s="42" t="str"/>
      <x:c r="K145" s="42" t="str"/>
      <x:c r="L145" s="42" t="str"/>
      <x:c r="M145" s="42" t="str"/>
      <x:c r="N145" s="42" t="str">
        <x:v>https://www.usccb.org/resources/2026cal.pdf
https://www.usccb.org/beliefs-and-teachings/what-we-believe/canon-law/complementary-norms/canon-1246</x:v>
      </x:c>
      <x:c r="O145" s="115" t="e">
        <x:f>HYPERLINK("https://bible.usccb.org/bible/readings/052426.cfm","Open official USCCB readings ↗")</x:f>
        <x:v>HYPERLINK is not implemented. linkLocation=https://bible.usccb.org/bible/readings/052426.cfm, friendlyName=Open official USCCB readings ↗</x:v>
      </x:c>
    </x:row>
    <x:row r="146">
      <x:c r="A146" s="40" t="n">
        <x:v>46167</x:v>
      </x:c>
      <x:c r="B146" s="41" t="str">
        <x:v>Monday</x:v>
      </x:c>
      <x:c r="C146" s="60" t="str">
        <x:v>Ordinary Time</x:v>
      </x:c>
      <x:c r="D146" s="41" t="str">
        <x:v>Blessed Virgin Mary, Mother of the Church</x:v>
      </x:c>
      <x:c r="E146" s="41" t="str">
        <x:v>Memorial</x:v>
      </x:c>
      <x:c r="F146" s="48" t="str">
        <x:v>Saint Bede; Saint Gregory VII; Saint Mary Magdalene de' Pazzi [Optional Memorial]
Blessed Virgin Mary, Mother of the Church [Memorial]</x:v>
      </x:c>
      <x:c r="G146" s="42" t="str">
        <x:v>🌹 ✦</x:v>
      </x:c>
      <x:c r="H146" s="42" t="str"/>
      <x:c r="I146" s="42" t="str"/>
      <x:c r="J146" s="42" t="str"/>
      <x:c r="K146" s="42" t="str"/>
      <x:c r="L146" s="42" t="str"/>
      <x:c r="M146" s="42" t="str"/>
      <x:c r="N146" s="42" t="str">
        <x:v>https://www.usccb.org/resources/2026cal.pdf</x:v>
      </x:c>
      <x:c r="O146" s="115" t="e">
        <x:f>HYPERLINK("https://bible.usccb.org/bible/readings/052526.cfm","Open official USCCB readings ↗")</x:f>
        <x:v>HYPERLINK is not implemented. linkLocation=https://bible.usccb.org/bible/readings/052526.cfm, friendlyName=Open official USCCB readings ↗</x:v>
      </x:c>
    </x:row>
    <x:row r="147">
      <x:c r="A147" s="40" t="n">
        <x:v>46168</x:v>
      </x:c>
      <x:c r="B147" s="41" t="str">
        <x:v>Tuesday</x:v>
      </x:c>
      <x:c r="C147" s="60" t="str">
        <x:v>Ordinary Time</x:v>
      </x:c>
      <x:c r="D147" s="41" t="str">
        <x:v>Saint Philip Neri</x:v>
      </x:c>
      <x:c r="E147" s="41" t="str">
        <x:v>Memorial</x:v>
      </x:c>
      <x:c r="F147" s="42" t="str">
        <x:v>Saint Philip Neri [Memorial]</x:v>
      </x:c>
      <x:c r="G147" s="42" t="str">
        <x:v>✦</x:v>
      </x:c>
      <x:c r="H147" s="42" t="str"/>
      <x:c r="I147" s="42" t="str"/>
      <x:c r="J147" s="42" t="str"/>
      <x:c r="K147" s="42" t="str"/>
      <x:c r="L147" s="42" t="str"/>
      <x:c r="M147" s="42" t="str"/>
      <x:c r="N147" s="42" t="str">
        <x:v>https://www.usccb.org/resources/2026cal.pdf</x:v>
      </x:c>
      <x:c r="O147" s="115" t="e">
        <x:f>HYPERLINK("https://bible.usccb.org/bible/readings/052626.cfm","Open official USCCB readings ↗")</x:f>
        <x:v>HYPERLINK is not implemented. linkLocation=https://bible.usccb.org/bible/readings/052626.cfm, friendlyName=Open official USCCB readings ↗</x:v>
      </x:c>
    </x:row>
    <x:row r="148">
      <x:c r="A148" s="40" t="n">
        <x:v>46169</x:v>
      </x:c>
      <x:c r="B148" s="41" t="str">
        <x:v>Wednesday</x:v>
      </x:c>
      <x:c r="C148" s="60" t="str">
        <x:v>Ordinary Time</x:v>
      </x:c>
      <x:c r="D148" s="41" t="str">
        <x:v>Weekday in Ordinary Time</x:v>
      </x:c>
      <x:c r="E148" s="41" t="str">
        <x:v>Weekday</x:v>
      </x:c>
      <x:c r="F148" s="42" t="str">
        <x:v>Saint Augustine of Canterbury [Optional Memorial]</x:v>
      </x:c>
      <x:c r="G148" s="42" t="str">
        <x:v>✦ 🕯</x:v>
      </x:c>
      <x:c r="H148" s="42" t="str"/>
      <x:c r="I148" s="42" t="str"/>
      <x:c r="J148" s="42" t="str"/>
      <x:c r="K148" s="58" t="str">
        <x:v>🕯 Traditional Ember Day</x:v>
      </x:c>
      <x:c r="L148" s="42" t="str"/>
      <x:c r="M148" s="42" t="str"/>
      <x:c r="N148" s="42" t="str">
        <x:v>https://www.usccb.org/resources/2026cal.pdf
https://www.newadvent.org/cathen/05399b.htm</x:v>
      </x:c>
      <x:c r="O148" s="115" t="e">
        <x:f>HYPERLINK("https://bible.usccb.org/bible/readings/052726.cfm","Open official USCCB readings ↗")</x:f>
        <x:v>HYPERLINK is not implemented. linkLocation=https://bible.usccb.org/bible/readings/052726.cfm, friendlyName=Open official USCCB readings ↗</x:v>
      </x:c>
    </x:row>
    <x:row r="149">
      <x:c r="A149" s="40" t="n">
        <x:v>46170</x:v>
      </x:c>
      <x:c r="B149" s="41" t="str">
        <x:v>Thursday</x:v>
      </x:c>
      <x:c r="C149" s="60" t="str">
        <x:v>Ordinary Time</x:v>
      </x:c>
      <x:c r="D149" s="41" t="str">
        <x:v>Weekday in Ordinary Time</x:v>
      </x:c>
      <x:c r="E149" s="41" t="str">
        <x:v>Weekday</x:v>
      </x:c>
      <x:c r="F149" s="42" t="str"/>
      <x:c r="G149" s="42" t="str"/>
      <x:c r="H149" s="42" t="str"/>
      <x:c r="I149" s="42" t="str"/>
      <x:c r="J149" s="42" t="str"/>
      <x:c r="K149" s="42" t="str"/>
      <x:c r="L149" s="42" t="str"/>
      <x:c r="M149" s="42" t="str"/>
      <x:c r="N149" s="42" t="str">
        <x:v>https://www.usccb.org/resources/2026cal.pdf</x:v>
      </x:c>
      <x:c r="O149" s="115" t="e">
        <x:f>HYPERLINK("https://bible.usccb.org/bible/readings/052826.cfm","Open official USCCB readings ↗")</x:f>
        <x:v>HYPERLINK is not implemented. linkLocation=https://bible.usccb.org/bible/readings/052826.cfm, friendlyName=Open official USCCB readings ↗</x:v>
      </x:c>
    </x:row>
    <x:row r="150">
      <x:c r="A150" s="40" t="n">
        <x:v>46171</x:v>
      </x:c>
      <x:c r="B150" s="41" t="str">
        <x:v>Friday</x:v>
      </x:c>
      <x:c r="C150" s="60" t="str">
        <x:v>Ordinary Time</x:v>
      </x:c>
      <x:c r="D150" s="41" t="str">
        <x:v>Weekday in Ordinary Time</x:v>
      </x:c>
      <x:c r="E150" s="41" t="str">
        <x:v>Weekday</x:v>
      </x:c>
      <x:c r="F150" s="42" t="str">
        <x:v>Saint Paul VI [Optional Memorial]</x:v>
      </x:c>
      <x:c r="G150" s="42" t="str">
        <x:v>✦ Ⓟ 🕯</x:v>
      </x:c>
      <x:c r="H150" s="42" t="str"/>
      <x:c r="I150" s="42" t="str"/>
      <x:c r="J150" s="56" t="str">
        <x:v>Friday penance — outside Lent, U.S. Catholics may choose an appropriate penitential practice</x:v>
      </x:c>
      <x:c r="K150" s="58" t="str">
        <x:v>🕯 Traditional Ember Day</x:v>
      </x:c>
      <x:c r="L150" s="42" t="str"/>
      <x:c r="M150" s="42" t="str"/>
      <x:c r="N150" s="42" t="str">
        <x:v>https://www.usccb.org/resources/2026cal.pdf
https://www.usccb.org/prayer-and-worship/liturgical-year-and-calendar/lent/catholic-information-on-lenten-fast-and-abstinence
https://www.newadvent.org/cathen/05399b.htm</x:v>
      </x:c>
      <x:c r="O150" s="115" t="e">
        <x:f>HYPERLINK("https://bible.usccb.org/bible/readings/052926.cfm","Open official USCCB readings ↗")</x:f>
        <x:v>HYPERLINK is not implemented. linkLocation=https://bible.usccb.org/bible/readings/052926.cfm, friendlyName=Open official USCCB readings ↗</x:v>
      </x:c>
    </x:row>
    <x:row r="151">
      <x:c r="A151" s="40" t="n">
        <x:v>46172</x:v>
      </x:c>
      <x:c r="B151" s="41" t="str">
        <x:v>Saturday</x:v>
      </x:c>
      <x:c r="C151" s="60" t="str">
        <x:v>Ordinary Time</x:v>
      </x:c>
      <x:c r="D151" s="41" t="str">
        <x:v>Weekday in Ordinary Time</x:v>
      </x:c>
      <x:c r="E151" s="41" t="str">
        <x:v>Weekday</x:v>
      </x:c>
      <x:c r="F151" s="42" t="str"/>
      <x:c r="G151" s="42" t="str">
        <x:v>🕯</x:v>
      </x:c>
      <x:c r="H151" s="42" t="str"/>
      <x:c r="I151" s="42" t="str"/>
      <x:c r="J151" s="42" t="str"/>
      <x:c r="K151" s="58" t="str">
        <x:v>🕯 Traditional Ember Day</x:v>
      </x:c>
      <x:c r="L151" s="42" t="str"/>
      <x:c r="M151" s="42" t="str"/>
      <x:c r="N151" s="42" t="str">
        <x:v>https://www.usccb.org/resources/2026cal.pdf
https://www.newadvent.org/cathen/05399b.htm</x:v>
      </x:c>
      <x:c r="O151" s="115" t="e">
        <x:f>HYPERLINK("https://bible.usccb.org/bible/readings/053026.cfm","Open official USCCB readings ↗")</x:f>
        <x:v>HYPERLINK is not implemented. linkLocation=https://bible.usccb.org/bible/readings/053026.cfm, friendlyName=Open official USCCB readings ↗</x:v>
      </x:c>
    </x:row>
    <x:row r="152">
      <x:c r="A152" s="40" t="n">
        <x:v>46173</x:v>
      </x:c>
      <x:c r="B152" s="41" t="str">
        <x:v>Sunday</x:v>
      </x:c>
      <x:c r="C152" s="60" t="str">
        <x:v>Ordinary Time</x:v>
      </x:c>
      <x:c r="D152" s="41" t="str">
        <x:v>Most Holy Trinity</x:v>
      </x:c>
      <x:c r="E152" s="41" t="str">
        <x:v>Solemnity</x:v>
      </x:c>
      <x:c r="F152" s="48" t="str">
        <x:v>Visitation of the Blessed Virgin Mary [Feast]</x:v>
      </x:c>
      <x:c r="G152" s="42" t="str">
        <x:v>★ ✝ 🌹 ⛪</x:v>
      </x:c>
      <x:c r="H152" s="52" t="str">
        <x:v>⛪ Sunday Mass obligation</x:v>
      </x:c>
      <x:c r="I152" s="42" t="str"/>
      <x:c r="J152" s="42" t="str"/>
      <x:c r="K152" s="42" t="str"/>
      <x:c r="L152" s="42" t="str"/>
      <x:c r="M152" s="42" t="str">
        <x:v>A fixed observance also falls today, but the Sunday or higher-ranking celebration takes liturgical precedence.</x:v>
      </x:c>
      <x:c r="N152" s="42" t="str">
        <x:v>https://www.usccb.org/resources/2026cal.pdf
https://www.usccb.org/beliefs-and-teachings/what-we-believe/canon-law/complementary-norms/canon-1246</x:v>
      </x:c>
      <x:c r="O152" s="115" t="e">
        <x:f>HYPERLINK("https://bible.usccb.org/bible/readings/053126.cfm","Open official USCCB readings ↗")</x:f>
        <x:v>HYPERLINK is not implemented. linkLocation=https://bible.usccb.org/bible/readings/053126.cfm, friendlyName=Open official USCCB readings ↗</x:v>
      </x:c>
    </x:row>
    <x:row r="153">
      <x:c r="A153" s="40" t="n">
        <x:v>46174</x:v>
      </x:c>
      <x:c r="B153" s="41" t="str">
        <x:v>Monday</x:v>
      </x:c>
      <x:c r="C153" s="60" t="str">
        <x:v>Ordinary Time</x:v>
      </x:c>
      <x:c r="D153" s="41" t="str">
        <x:v>Saint Justin</x:v>
      </x:c>
      <x:c r="E153" s="41" t="str">
        <x:v>Memorial</x:v>
      </x:c>
      <x:c r="F153" s="42" t="str">
        <x:v>Saint Justin [Memorial]</x:v>
      </x:c>
      <x:c r="G153" s="42" t="str">
        <x:v>✦</x:v>
      </x:c>
      <x:c r="H153" s="42" t="str"/>
      <x:c r="I153" s="42" t="str"/>
      <x:c r="J153" s="42" t="str"/>
      <x:c r="K153" s="42" t="str"/>
      <x:c r="L153" s="42" t="str"/>
      <x:c r="M153" s="42" t="str"/>
      <x:c r="N153" s="42" t="str">
        <x:v>https://www.usccb.org/resources/2026cal.pdf</x:v>
      </x:c>
      <x:c r="O153" s="115" t="e">
        <x:f>HYPERLINK("https://bible.usccb.org/bible/readings/060126.cfm","Open official USCCB readings ↗")</x:f>
        <x:v>HYPERLINK is not implemented. linkLocation=https://bible.usccb.org/bible/readings/060126.cfm, friendlyName=Open official USCCB readings ↗</x:v>
      </x:c>
    </x:row>
    <x:row r="154">
      <x:c r="A154" s="40" t="n">
        <x:v>46175</x:v>
      </x:c>
      <x:c r="B154" s="41" t="str">
        <x:v>Tuesday</x:v>
      </x:c>
      <x:c r="C154" s="60" t="str">
        <x:v>Ordinary Time</x:v>
      </x:c>
      <x:c r="D154" s="41" t="str">
        <x:v>Weekday in Ordinary Time</x:v>
      </x:c>
      <x:c r="E154" s="41" t="str">
        <x:v>Weekday</x:v>
      </x:c>
      <x:c r="F154" s="42" t="str">
        <x:v>Saints Marcellinus and Peter [Optional Memorial]</x:v>
      </x:c>
      <x:c r="G154" s="42" t="str">
        <x:v>✦</x:v>
      </x:c>
      <x:c r="H154" s="42" t="str"/>
      <x:c r="I154" s="42" t="str"/>
      <x:c r="J154" s="42" t="str"/>
      <x:c r="K154" s="42" t="str"/>
      <x:c r="L154" s="42" t="str"/>
      <x:c r="M154" s="42" t="str"/>
      <x:c r="N154" s="42" t="str">
        <x:v>https://www.usccb.org/resources/2026cal.pdf</x:v>
      </x:c>
      <x:c r="O154" s="115" t="e">
        <x:f>HYPERLINK("https://bible.usccb.org/bible/readings/060226.cfm","Open official USCCB readings ↗")</x:f>
        <x:v>HYPERLINK is not implemented. linkLocation=https://bible.usccb.org/bible/readings/060226.cfm, friendlyName=Open official USCCB readings ↗</x:v>
      </x:c>
    </x:row>
    <x:row r="155">
      <x:c r="A155" s="40" t="n">
        <x:v>46176</x:v>
      </x:c>
      <x:c r="B155" s="41" t="str">
        <x:v>Wednesday</x:v>
      </x:c>
      <x:c r="C155" s="60" t="str">
        <x:v>Ordinary Time</x:v>
      </x:c>
      <x:c r="D155" s="41" t="str">
        <x:v>Saint Charles Lwanga and Companions</x:v>
      </x:c>
      <x:c r="E155" s="41" t="str">
        <x:v>Memorial</x:v>
      </x:c>
      <x:c r="F155" s="42" t="str">
        <x:v>Saint Charles Lwanga and Companions [Memorial]</x:v>
      </x:c>
      <x:c r="G155" s="42" t="str">
        <x:v>✦ 🙏</x:v>
      </x:c>
      <x:c r="H155" s="42" t="str"/>
      <x:c r="I155" s="54" t="str">
        <x:v>🙏 Sacred Heart Novena — Day 1/9 [START]</x:v>
      </x:c>
      <x:c r="J155" s="42" t="str"/>
      <x:c r="K155" s="42" t="str"/>
      <x:c r="L155" s="42" t="str"/>
      <x:c r="M155" s="42" t="str"/>
      <x:c r="N155" s="42" t="str">
        <x:v>https://www.usccb.org/resources/2026cal.pdf
https://www.usccb.org/resources/liturgical-calendar-dioceses-united-states-america</x:v>
      </x:c>
      <x:c r="O155" s="115" t="e">
        <x:f>HYPERLINK("https://bible.usccb.org/bible/readings/060326.cfm","Open official USCCB readings ↗")</x:f>
        <x:v>HYPERLINK is not implemented. linkLocation=https://bible.usccb.org/bible/readings/060326.cfm, friendlyName=Open official USCCB readings ↗</x:v>
      </x:c>
    </x:row>
    <x:row r="156">
      <x:c r="A156" s="40" t="n">
        <x:v>46177</x:v>
      </x:c>
      <x:c r="B156" s="41" t="str">
        <x:v>Thursday</x:v>
      </x:c>
      <x:c r="C156" s="60" t="str">
        <x:v>Ordinary Time</x:v>
      </x:c>
      <x:c r="D156" s="41" t="str">
        <x:v>Weekday in Ordinary Time</x:v>
      </x:c>
      <x:c r="E156" s="41" t="str">
        <x:v>Weekday</x:v>
      </x:c>
      <x:c r="F156" s="42" t="str"/>
      <x:c r="G156" s="42" t="str">
        <x:v>🙏</x:v>
      </x:c>
      <x:c r="H156" s="42" t="str"/>
      <x:c r="I156" s="54" t="str">
        <x:v>🙏 Sacred Heart Novena — Day 2/9</x:v>
      </x:c>
      <x:c r="J156" s="42" t="str"/>
      <x:c r="K156" s="42" t="str"/>
      <x:c r="L156" s="42" t="str"/>
      <x:c r="M156" s="42" t="str"/>
      <x:c r="N156" s="42" t="str">
        <x:v>https://www.usccb.org/resources/2026cal.pdf
https://www.usccb.org/resources/liturgical-calendar-dioceses-united-states-america</x:v>
      </x:c>
      <x:c r="O156" s="115" t="e">
        <x:f>HYPERLINK("https://bible.usccb.org/bible/readings/060426.cfm","Open official USCCB readings ↗")</x:f>
        <x:v>HYPERLINK is not implemented. linkLocation=https://bible.usccb.org/bible/readings/060426.cfm, friendlyName=Open official USCCB readings ↗</x:v>
      </x:c>
    </x:row>
    <x:row r="157">
      <x:c r="A157" s="40" t="n">
        <x:v>46178</x:v>
      </x:c>
      <x:c r="B157" s="41" t="str">
        <x:v>Friday</x:v>
      </x:c>
      <x:c r="C157" s="60" t="str">
        <x:v>Ordinary Time</x:v>
      </x:c>
      <x:c r="D157" s="41" t="str">
        <x:v>Saint Boniface</x:v>
      </x:c>
      <x:c r="E157" s="41" t="str">
        <x:v>Memorial</x:v>
      </x:c>
      <x:c r="F157" s="42" t="str">
        <x:v>Saint Boniface [Memorial]</x:v>
      </x:c>
      <x:c r="G157" s="42" t="str">
        <x:v>✦ 🙏 Ⓟ</x:v>
      </x:c>
      <x:c r="H157" s="42" t="str"/>
      <x:c r="I157" s="54" t="str">
        <x:v>🙏 Sacred Heart Novena — Day 3/9
❤ First Friday — Sacred Heart devotion</x:v>
      </x:c>
      <x:c r="J157" s="56" t="str">
        <x:v>Friday penance — outside Lent, U.S. Catholics may choose an appropriate penitential practice</x:v>
      </x:c>
      <x:c r="K157" s="42" t="str"/>
      <x:c r="L157" s="42" t="str"/>
      <x:c r="M157" s="42" t="str"/>
      <x:c r="N157" s="42" t="str">
        <x:v>https://www.usccb.org/resources/2026cal.pdf
https://www.usccb.org/resources/liturgical-calendar-dioceses-united-states-america
https://www.ewtn.com/catholicism/library/first-friday-devotion-to-sacred-heart-4692
https://www.usccb.org/prayer-and-worship/liturgical-year-and-calendar/lent/catholic-information-on-lenten-fast-and-abstinence</x:v>
      </x:c>
      <x:c r="O157" s="115" t="e">
        <x:f>HYPERLINK("https://bible.usccb.org/bible/readings/060526.cfm","Open official USCCB readings ↗")</x:f>
        <x:v>HYPERLINK is not implemented. linkLocation=https://bible.usccb.org/bible/readings/060526.cfm, friendlyName=Open official USCCB readings ↗</x:v>
      </x:c>
    </x:row>
    <x:row r="158">
      <x:c r="A158" s="40" t="n">
        <x:v>46179</x:v>
      </x:c>
      <x:c r="B158" s="41" t="str">
        <x:v>Saturday</x:v>
      </x:c>
      <x:c r="C158" s="60" t="str">
        <x:v>Ordinary Time</x:v>
      </x:c>
      <x:c r="D158" s="41" t="str">
        <x:v>Weekday in Ordinary Time</x:v>
      </x:c>
      <x:c r="E158" s="41" t="str">
        <x:v>Weekday</x:v>
      </x:c>
      <x:c r="F158" s="48" t="str">
        <x:v>Saint Norbert [Optional Memorial]</x:v>
      </x:c>
      <x:c r="G158" s="42" t="str">
        <x:v>✦ 🙏 🌹</x:v>
      </x:c>
      <x:c r="H158" s="42" t="str"/>
      <x:c r="I158" s="54" t="str">
        <x:v>🙏 Sacred Heart Novena — Day 4/9
🌹 First Saturday — Immaculate Heart devotion</x:v>
      </x:c>
      <x:c r="J158" s="42" t="str"/>
      <x:c r="K158" s="42" t="str"/>
      <x:c r="L158" s="42" t="str"/>
      <x:c r="M158" s="42" t="str"/>
      <x:c r="N158" s="42" t="str">
        <x:v>https://www.usccb.org/resources/2026cal.pdf
https://www.usccb.org/resources/liturgical-calendar-dioceses-united-states-america
https://www.ewtn.com/catholicism/library/revelation-of-the-immaculate-heart-at-fatima-in-1917-5465</x:v>
      </x:c>
      <x:c r="O158" s="115" t="e">
        <x:f>HYPERLINK("https://bible.usccb.org/bible/readings/060626.cfm","Open official USCCB readings ↗")</x:f>
        <x:v>HYPERLINK is not implemented. linkLocation=https://bible.usccb.org/bible/readings/060626.cfm, friendlyName=Open official USCCB readings ↗</x:v>
      </x:c>
    </x:row>
    <x:row r="159">
      <x:c r="A159" s="40" t="n">
        <x:v>46180</x:v>
      </x:c>
      <x:c r="B159" s="41" t="str">
        <x:v>Sunday</x:v>
      </x:c>
      <x:c r="C159" s="60" t="str">
        <x:v>Ordinary Time</x:v>
      </x:c>
      <x:c r="D159" s="41" t="str">
        <x:v>Most Holy Body and Blood of Christ (Corpus Christi)</x:v>
      </x:c>
      <x:c r="E159" s="41" t="str">
        <x:v>Solemnity</x:v>
      </x:c>
      <x:c r="F159" s="42" t="str"/>
      <x:c r="G159" s="42" t="str">
        <x:v>★ ✝ ⛪ 🙏</x:v>
      </x:c>
      <x:c r="H159" s="52" t="str">
        <x:v>⛪ Sunday Mass obligation</x:v>
      </x:c>
      <x:c r="I159" s="54" t="str">
        <x:v>🙏 Sacred Heart Novena — Day 5/9</x:v>
      </x:c>
      <x:c r="J159" s="42" t="str"/>
      <x:c r="K159" s="42" t="str"/>
      <x:c r="L159" s="42" t="str"/>
      <x:c r="M159" s="42" t="str"/>
      <x:c r="N159" s="42" t="str">
        <x:v>https://www.usccb.org/resources/2026cal.pdf
https://www.usccb.org/beliefs-and-teachings/what-we-believe/canon-law/complementary-norms/canon-1246
https://www.usccb.org/resources/liturgical-calendar-dioceses-united-states-america</x:v>
      </x:c>
      <x:c r="O159" s="115" t="e">
        <x:f>HYPERLINK("https://bible.usccb.org/bible/readings/060726.cfm","Open official USCCB readings ↗")</x:f>
        <x:v>HYPERLINK is not implemented. linkLocation=https://bible.usccb.org/bible/readings/060726.cfm, friendlyName=Open official USCCB readings ↗</x:v>
      </x:c>
    </x:row>
    <x:row r="160">
      <x:c r="A160" s="40" t="n">
        <x:v>46181</x:v>
      </x:c>
      <x:c r="B160" s="41" t="str">
        <x:v>Monday</x:v>
      </x:c>
      <x:c r="C160" s="60" t="str">
        <x:v>Ordinary Time</x:v>
      </x:c>
      <x:c r="D160" s="41" t="str">
        <x:v>Weekday in Ordinary Time</x:v>
      </x:c>
      <x:c r="E160" s="41" t="str">
        <x:v>Weekday</x:v>
      </x:c>
      <x:c r="F160" s="42" t="str"/>
      <x:c r="G160" s="42" t="str">
        <x:v>🙏</x:v>
      </x:c>
      <x:c r="H160" s="42" t="str"/>
      <x:c r="I160" s="54" t="str">
        <x:v>🙏 Sacred Heart Novena — Day 6/9</x:v>
      </x:c>
      <x:c r="J160" s="42" t="str"/>
      <x:c r="K160" s="42" t="str"/>
      <x:c r="L160" s="42" t="str"/>
      <x:c r="M160" s="42" t="str"/>
      <x:c r="N160" s="42" t="str">
        <x:v>https://www.usccb.org/resources/2026cal.pdf
https://www.usccb.org/resources/liturgical-calendar-dioceses-united-states-america</x:v>
      </x:c>
      <x:c r="O160" s="115" t="e">
        <x:f>HYPERLINK("https://bible.usccb.org/bible/readings/060826.cfm","Open official USCCB readings ↗")</x:f>
        <x:v>HYPERLINK is not implemented. linkLocation=https://bible.usccb.org/bible/readings/060826.cfm, friendlyName=Open official USCCB readings ↗</x:v>
      </x:c>
    </x:row>
    <x:row r="161">
      <x:c r="A161" s="40" t="n">
        <x:v>46182</x:v>
      </x:c>
      <x:c r="B161" s="41" t="str">
        <x:v>Tuesday</x:v>
      </x:c>
      <x:c r="C161" s="60" t="str">
        <x:v>Ordinary Time</x:v>
      </x:c>
      <x:c r="D161" s="41" t="str">
        <x:v>Weekday in Ordinary Time</x:v>
      </x:c>
      <x:c r="E161" s="41" t="str">
        <x:v>Weekday</x:v>
      </x:c>
      <x:c r="F161" s="42" t="str">
        <x:v>Saint Ephrem [Optional Memorial]</x:v>
      </x:c>
      <x:c r="G161" s="42" t="str">
        <x:v>✦ 🙏</x:v>
      </x:c>
      <x:c r="H161" s="42" t="str"/>
      <x:c r="I161" s="54" t="str">
        <x:v>🙏 Sacred Heart Novena — Day 7/9</x:v>
      </x:c>
      <x:c r="J161" s="42" t="str"/>
      <x:c r="K161" s="42" t="str"/>
      <x:c r="L161" s="42" t="str"/>
      <x:c r="M161" s="42" t="str"/>
      <x:c r="N161" s="42" t="str">
        <x:v>https://www.usccb.org/resources/2026cal.pdf
https://www.usccb.org/resources/liturgical-calendar-dioceses-united-states-america</x:v>
      </x:c>
      <x:c r="O161" s="115" t="e">
        <x:f>HYPERLINK("https://bible.usccb.org/bible/readings/060926.cfm","Open official USCCB readings ↗")</x:f>
        <x:v>HYPERLINK is not implemented. linkLocation=https://bible.usccb.org/bible/readings/060926.cfm, friendlyName=Open official USCCB readings ↗</x:v>
      </x:c>
    </x:row>
    <x:row r="162">
      <x:c r="A162" s="40" t="n">
        <x:v>46183</x:v>
      </x:c>
      <x:c r="B162" s="41" t="str">
        <x:v>Wednesday</x:v>
      </x:c>
      <x:c r="C162" s="60" t="str">
        <x:v>Ordinary Time</x:v>
      </x:c>
      <x:c r="D162" s="41" t="str">
        <x:v>Weekday in Ordinary Time</x:v>
      </x:c>
      <x:c r="E162" s="41" t="str">
        <x:v>Weekday</x:v>
      </x:c>
      <x:c r="F162" s="42" t="str"/>
      <x:c r="G162" s="42" t="str">
        <x:v>🙏</x:v>
      </x:c>
      <x:c r="H162" s="42" t="str"/>
      <x:c r="I162" s="54" t="str">
        <x:v>🙏 Sacred Heart Novena — Day 8/9</x:v>
      </x:c>
      <x:c r="J162" s="42" t="str"/>
      <x:c r="K162" s="42" t="str"/>
      <x:c r="L162" s="42" t="str"/>
      <x:c r="M162" s="42" t="str"/>
      <x:c r="N162" s="42" t="str">
        <x:v>https://www.usccb.org/resources/2026cal.pdf
https://www.usccb.org/resources/liturgical-calendar-dioceses-united-states-america</x:v>
      </x:c>
      <x:c r="O162" s="115" t="e">
        <x:f>HYPERLINK("https://bible.usccb.org/bible/readings/061026.cfm","Open official USCCB readings ↗")</x:f>
        <x:v>HYPERLINK is not implemented. linkLocation=https://bible.usccb.org/bible/readings/061026.cfm, friendlyName=Open official USCCB readings ↗</x:v>
      </x:c>
    </x:row>
    <x:row r="163">
      <x:c r="A163" s="40" t="n">
        <x:v>46184</x:v>
      </x:c>
      <x:c r="B163" s="41" t="str">
        <x:v>Thursday</x:v>
      </x:c>
      <x:c r="C163" s="60" t="str">
        <x:v>Ordinary Time</x:v>
      </x:c>
      <x:c r="D163" s="41" t="str">
        <x:v>Saint Barnabas, Apostle</x:v>
      </x:c>
      <x:c r="E163" s="41" t="str">
        <x:v>Memorial</x:v>
      </x:c>
      <x:c r="F163" s="42" t="str">
        <x:v>Saint Barnabas, Apostle [Memorial]</x:v>
      </x:c>
      <x:c r="G163" s="42" t="str">
        <x:v>✦ 🙏</x:v>
      </x:c>
      <x:c r="H163" s="42" t="str"/>
      <x:c r="I163" s="54" t="str">
        <x:v>🙏 Sacred Heart Novena — Day 9/9 [END]</x:v>
      </x:c>
      <x:c r="J163" s="42" t="str"/>
      <x:c r="K163" s="42" t="str"/>
      <x:c r="L163" s="42" t="str"/>
      <x:c r="M163" s="42" t="str"/>
      <x:c r="N163" s="42" t="str">
        <x:v>https://www.usccb.org/resources/2026cal.pdf
https://www.usccb.org/resources/liturgical-calendar-dioceses-united-states-america</x:v>
      </x:c>
      <x:c r="O163" s="115" t="e">
        <x:f>HYPERLINK("https://bible.usccb.org/bible/readings/061126.cfm","Open official USCCB readings ↗")</x:f>
        <x:v>HYPERLINK is not implemented. linkLocation=https://bible.usccb.org/bible/readings/061126.cfm, friendlyName=Open official USCCB readings ↗</x:v>
      </x:c>
    </x:row>
    <x:row r="164">
      <x:c r="A164" s="40" t="n">
        <x:v>46185</x:v>
      </x:c>
      <x:c r="B164" s="41" t="str">
        <x:v>Friday</x:v>
      </x:c>
      <x:c r="C164" s="60" t="str">
        <x:v>Ordinary Time</x:v>
      </x:c>
      <x:c r="D164" s="41" t="str">
        <x:v>Most Sacred Heart of Jesus</x:v>
      </x:c>
      <x:c r="E164" s="41" t="str">
        <x:v>Solemnity</x:v>
      </x:c>
      <x:c r="F164" s="42" t="str"/>
      <x:c r="G164" s="42" t="str">
        <x:v>★ ✝ Ⓟ</x:v>
      </x:c>
      <x:c r="H164" s="42" t="str"/>
      <x:c r="I164" s="42" t="str"/>
      <x:c r="J164" s="56" t="str">
        <x:v>Friday penance — outside Lent, U.S. Catholics may choose an appropriate penitential practice</x:v>
      </x:c>
      <x:c r="K164" s="42" t="str"/>
      <x:c r="L164" s="42" t="str"/>
      <x:c r="M164" s="42" t="str"/>
      <x:c r="N164" s="42" t="str">
        <x:v>https://www.usccb.org/resources/2026cal.pdf
https://www.usccb.org/prayer-and-worship/liturgical-year-and-calendar/lent/catholic-information-on-lenten-fast-and-abstinence</x:v>
      </x:c>
      <x:c r="O164" s="115" t="e">
        <x:f>HYPERLINK("https://bible.usccb.org/bible/readings/061226.cfm","Open official USCCB readings ↗")</x:f>
        <x:v>HYPERLINK is not implemented. linkLocation=https://bible.usccb.org/bible/readings/061226.cfm, friendlyName=Open official USCCB readings ↗</x:v>
      </x:c>
    </x:row>
    <x:row r="165">
      <x:c r="A165" s="40" t="n">
        <x:v>46186</x:v>
      </x:c>
      <x:c r="B165" s="41" t="str">
        <x:v>Saturday</x:v>
      </x:c>
      <x:c r="C165" s="60" t="str">
        <x:v>Ordinary Time</x:v>
      </x:c>
      <x:c r="D165" s="41" t="str">
        <x:v>Weekday in Ordinary Time</x:v>
      </x:c>
      <x:c r="E165" s="41" t="str">
        <x:v>Weekday</x:v>
      </x:c>
      <x:c r="F165" s="48" t="str">
        <x:v>The Immaculate Heart of the Blessed Virgin Mary [Optional Memorial]
Saint Anthony of Padua [Optional Memorial]</x:v>
      </x:c>
      <x:c r="G165" s="42" t="str">
        <x:v>🌹 ✦</x:v>
      </x:c>
      <x:c r="H165" s="42" t="str"/>
      <x:c r="I165" s="42" t="str"/>
      <x:c r="J165" s="42" t="str"/>
      <x:c r="K165" s="42" t="str"/>
      <x:c r="L165" s="42" t="str"/>
      <x:c r="M165" s="42" t="str">
        <x:v>The Immaculate Heart and Saint Anthony of Padua are both optional memorials in 2026 because they coincide.</x:v>
      </x:c>
      <x:c r="N165" s="42" t="str">
        <x:v>https://www.usccb.org/resources/2026cal.pdf</x:v>
      </x:c>
      <x:c r="O165" s="115" t="e">
        <x:f>HYPERLINK("https://bible.usccb.org/bible/readings/061326.cfm","Open official USCCB readings ↗")</x:f>
        <x:v>HYPERLINK is not implemented. linkLocation=https://bible.usccb.org/bible/readings/061326.cfm, friendlyName=Open official USCCB readings ↗</x:v>
      </x:c>
    </x:row>
    <x:row r="166">
      <x:c r="A166" s="40" t="n">
        <x:v>46187</x:v>
      </x:c>
      <x:c r="B166" s="41" t="str">
        <x:v>Sunday</x:v>
      </x:c>
      <x:c r="C166" s="60" t="str">
        <x:v>Ordinary Time</x:v>
      </x:c>
      <x:c r="D166" s="41" t="str">
        <x:v>Eleventh Sunday in Ordinary Time</x:v>
      </x:c>
      <x:c r="E166" s="41" t="str">
        <x:v>Sunday</x:v>
      </x:c>
      <x:c r="F166" s="42" t="str"/>
      <x:c r="G166" s="42" t="str">
        <x:v>⛪</x:v>
      </x:c>
      <x:c r="H166" s="52" t="str">
        <x:v>⛪ Sunday Mass obligation</x:v>
      </x:c>
      <x:c r="I166" s="42" t="str"/>
      <x:c r="J166" s="42" t="str"/>
      <x:c r="K166" s="42" t="str"/>
      <x:c r="L166" s="42" t="str"/>
      <x:c r="M166" s="42" t="str"/>
      <x:c r="N166" s="42" t="str">
        <x:v>https://www.usccb.org/resources/2026cal.pdf
https://www.usccb.org/beliefs-and-teachings/what-we-believe/canon-law/complementary-norms/canon-1246</x:v>
      </x:c>
      <x:c r="O166" s="115" t="e">
        <x:f>HYPERLINK("https://bible.usccb.org/bible/readings/061426.cfm","Open official USCCB readings ↗")</x:f>
        <x:v>HYPERLINK is not implemented. linkLocation=https://bible.usccb.org/bible/readings/061426.cfm, friendlyName=Open official USCCB readings ↗</x:v>
      </x:c>
    </x:row>
    <x:row r="167">
      <x:c r="A167" s="40" t="n">
        <x:v>46188</x:v>
      </x:c>
      <x:c r="B167" s="41" t="str">
        <x:v>Monday</x:v>
      </x:c>
      <x:c r="C167" s="60" t="str">
        <x:v>Ordinary Time</x:v>
      </x:c>
      <x:c r="D167" s="41" t="str">
        <x:v>Weekday in Ordinary Time</x:v>
      </x:c>
      <x:c r="E167" s="41" t="str">
        <x:v>Weekday</x:v>
      </x:c>
      <x:c r="F167" s="42" t="str"/>
      <x:c r="G167" s="42" t="str"/>
      <x:c r="H167" s="42" t="str"/>
      <x:c r="I167" s="42" t="str"/>
      <x:c r="J167" s="42" t="str"/>
      <x:c r="K167" s="42" t="str"/>
      <x:c r="L167" s="42" t="str"/>
      <x:c r="M167" s="42" t="str"/>
      <x:c r="N167" s="42" t="str">
        <x:v>https://www.usccb.org/resources/2026cal.pdf</x:v>
      </x:c>
      <x:c r="O167" s="115" t="e">
        <x:f>HYPERLINK("https://bible.usccb.org/bible/readings/061526.cfm","Open official USCCB readings ↗")</x:f>
        <x:v>HYPERLINK is not implemented. linkLocation=https://bible.usccb.org/bible/readings/061526.cfm, friendlyName=Open official USCCB readings ↗</x:v>
      </x:c>
    </x:row>
    <x:row r="168">
      <x:c r="A168" s="40" t="n">
        <x:v>46189</x:v>
      </x:c>
      <x:c r="B168" s="41" t="str">
        <x:v>Tuesday</x:v>
      </x:c>
      <x:c r="C168" s="60" t="str">
        <x:v>Ordinary Time</x:v>
      </x:c>
      <x:c r="D168" s="41" t="str">
        <x:v>Weekday in Ordinary Time</x:v>
      </x:c>
      <x:c r="E168" s="41" t="str">
        <x:v>Weekday</x:v>
      </x:c>
      <x:c r="F168" s="42" t="str"/>
      <x:c r="G168" s="42" t="str"/>
      <x:c r="H168" s="42" t="str"/>
      <x:c r="I168" s="42" t="str"/>
      <x:c r="J168" s="42" t="str"/>
      <x:c r="K168" s="42" t="str"/>
      <x:c r="L168" s="42" t="str"/>
      <x:c r="M168" s="42" t="str"/>
      <x:c r="N168" s="42" t="str">
        <x:v>https://www.usccb.org/resources/2026cal.pdf</x:v>
      </x:c>
      <x:c r="O168" s="115" t="e">
        <x:f>HYPERLINK("https://bible.usccb.org/bible/readings/061626.cfm","Open official USCCB readings ↗")</x:f>
        <x:v>HYPERLINK is not implemented. linkLocation=https://bible.usccb.org/bible/readings/061626.cfm, friendlyName=Open official USCCB readings ↗</x:v>
      </x:c>
    </x:row>
    <x:row r="169">
      <x:c r="A169" s="40" t="n">
        <x:v>46190</x:v>
      </x:c>
      <x:c r="B169" s="41" t="str">
        <x:v>Wednesday</x:v>
      </x:c>
      <x:c r="C169" s="60" t="str">
        <x:v>Ordinary Time</x:v>
      </x:c>
      <x:c r="D169" s="41" t="str">
        <x:v>Weekday in Ordinary Time</x:v>
      </x:c>
      <x:c r="E169" s="41" t="str">
        <x:v>Weekday</x:v>
      </x:c>
      <x:c r="F169" s="42" t="str"/>
      <x:c r="G169" s="42" t="str"/>
      <x:c r="H169" s="42" t="str"/>
      <x:c r="I169" s="42" t="str"/>
      <x:c r="J169" s="42" t="str"/>
      <x:c r="K169" s="42" t="str"/>
      <x:c r="L169" s="42" t="str"/>
      <x:c r="M169" s="42" t="str"/>
      <x:c r="N169" s="42" t="str">
        <x:v>https://www.usccb.org/resources/2026cal.pdf</x:v>
      </x:c>
      <x:c r="O169" s="115" t="e">
        <x:f>HYPERLINK("https://bible.usccb.org/bible/readings/061726.cfm","Open official USCCB readings ↗")</x:f>
        <x:v>HYPERLINK is not implemented. linkLocation=https://bible.usccb.org/bible/readings/061726.cfm, friendlyName=Open official USCCB readings ↗</x:v>
      </x:c>
    </x:row>
    <x:row r="170">
      <x:c r="A170" s="40" t="n">
        <x:v>46191</x:v>
      </x:c>
      <x:c r="B170" s="41" t="str">
        <x:v>Thursday</x:v>
      </x:c>
      <x:c r="C170" s="60" t="str">
        <x:v>Ordinary Time</x:v>
      </x:c>
      <x:c r="D170" s="41" t="str">
        <x:v>Weekday in Ordinary Time</x:v>
      </x:c>
      <x:c r="E170" s="41" t="str">
        <x:v>Weekday</x:v>
      </x:c>
      <x:c r="F170" s="42" t="str"/>
      <x:c r="G170" s="42" t="str"/>
      <x:c r="H170" s="42" t="str"/>
      <x:c r="I170" s="42" t="str"/>
      <x:c r="J170" s="42" t="str"/>
      <x:c r="K170" s="42" t="str"/>
      <x:c r="L170" s="42" t="str"/>
      <x:c r="M170" s="42" t="str"/>
      <x:c r="N170" s="42" t="str">
        <x:v>https://www.usccb.org/resources/2026cal.pdf</x:v>
      </x:c>
      <x:c r="O170" s="115" t="e">
        <x:f>HYPERLINK("https://bible.usccb.org/bible/readings/061826.cfm","Open official USCCB readings ↗")</x:f>
        <x:v>HYPERLINK is not implemented. linkLocation=https://bible.usccb.org/bible/readings/061826.cfm, friendlyName=Open official USCCB readings ↗</x:v>
      </x:c>
    </x:row>
    <x:row r="171">
      <x:c r="A171" s="40" t="n">
        <x:v>46192</x:v>
      </x:c>
      <x:c r="B171" s="41" t="str">
        <x:v>Friday</x:v>
      </x:c>
      <x:c r="C171" s="60" t="str">
        <x:v>Ordinary Time</x:v>
      </x:c>
      <x:c r="D171" s="41" t="str">
        <x:v>Weekday in Ordinary Time</x:v>
      </x:c>
      <x:c r="E171" s="41" t="str">
        <x:v>Weekday</x:v>
      </x:c>
      <x:c r="F171" s="42" t="str">
        <x:v>Saint Romuald [Optional Memorial]</x:v>
      </x:c>
      <x:c r="G171" s="42" t="str">
        <x:v>✦ Ⓟ</x:v>
      </x:c>
      <x:c r="H171" s="42" t="str"/>
      <x:c r="I171" s="42" t="str"/>
      <x:c r="J171" s="56" t="str">
        <x:v>Friday penance — outside Lent, U.S. Catholics may choose an appropriate penitential practice</x:v>
      </x:c>
      <x:c r="K171" s="42" t="str"/>
      <x:c r="L171" s="42" t="str"/>
      <x:c r="M171" s="42" t="str"/>
      <x:c r="N171" s="42" t="str">
        <x:v>https://www.usccb.org/resources/2026cal.pdf
https://www.usccb.org/prayer-and-worship/liturgical-year-and-calendar/lent/catholic-information-on-lenten-fast-and-abstinence</x:v>
      </x:c>
      <x:c r="O171" s="115" t="e">
        <x:f>HYPERLINK("https://bible.usccb.org/bible/readings/061926.cfm","Open official USCCB readings ↗")</x:f>
        <x:v>HYPERLINK is not implemented. linkLocation=https://bible.usccb.org/bible/readings/061926.cfm, friendlyName=Open official USCCB readings ↗</x:v>
      </x:c>
    </x:row>
    <x:row r="172">
      <x:c r="A172" s="40" t="n">
        <x:v>46193</x:v>
      </x:c>
      <x:c r="B172" s="41" t="str">
        <x:v>Saturday</x:v>
      </x:c>
      <x:c r="C172" s="60" t="str">
        <x:v>Ordinary Time</x:v>
      </x:c>
      <x:c r="D172" s="41" t="str">
        <x:v>Weekday in Ordinary Time</x:v>
      </x:c>
      <x:c r="E172" s="41" t="str">
        <x:v>Weekday</x:v>
      </x:c>
      <x:c r="F172" s="42" t="str"/>
      <x:c r="G172" s="42" t="str"/>
      <x:c r="H172" s="42" t="str"/>
      <x:c r="I172" s="42" t="str"/>
      <x:c r="J172" s="42" t="str"/>
      <x:c r="K172" s="42" t="str"/>
      <x:c r="L172" s="42" t="str"/>
      <x:c r="M172" s="42" t="str"/>
      <x:c r="N172" s="42" t="str">
        <x:v>https://www.usccb.org/resources/2026cal.pdf</x:v>
      </x:c>
      <x:c r="O172" s="115" t="e">
        <x:f>HYPERLINK("https://bible.usccb.org/bible/readings/062026.cfm","Open official USCCB readings ↗")</x:f>
        <x:v>HYPERLINK is not implemented. linkLocation=https://bible.usccb.org/bible/readings/062026.cfm, friendlyName=Open official USCCB readings ↗</x:v>
      </x:c>
    </x:row>
    <x:row r="173">
      <x:c r="A173" s="40" t="n">
        <x:v>46194</x:v>
      </x:c>
      <x:c r="B173" s="41" t="str">
        <x:v>Sunday</x:v>
      </x:c>
      <x:c r="C173" s="60" t="str">
        <x:v>Ordinary Time</x:v>
      </x:c>
      <x:c r="D173" s="41" t="str">
        <x:v>Twelfth Sunday in Ordinary Time</x:v>
      </x:c>
      <x:c r="E173" s="41" t="str">
        <x:v>Sunday</x:v>
      </x:c>
      <x:c r="F173" s="42" t="str">
        <x:v>Saint Aloysius Gonzaga [Memorial]</x:v>
      </x:c>
      <x:c r="G173" s="42" t="str">
        <x:v>✦ ⛪</x:v>
      </x:c>
      <x:c r="H173" s="52" t="str">
        <x:v>⛪ Sunday Mass obligation</x:v>
      </x:c>
      <x:c r="I173" s="42" t="str"/>
      <x:c r="J173" s="42" t="str"/>
      <x:c r="K173" s="42" t="str"/>
      <x:c r="L173" s="42" t="str"/>
      <x:c r="M173" s="42" t="str">
        <x:v>A fixed observance also falls today, but the Sunday or higher-ranking celebration takes liturgical precedence.</x:v>
      </x:c>
      <x:c r="N173" s="42" t="str">
        <x:v>https://www.usccb.org/resources/2026cal.pdf
https://www.usccb.org/beliefs-and-teachings/what-we-believe/canon-law/complementary-norms/canon-1246</x:v>
      </x:c>
      <x:c r="O173" s="115" t="e">
        <x:f>HYPERLINK("https://bible.usccb.org/bible/readings/062126.cfm","Open official USCCB readings ↗")</x:f>
        <x:v>HYPERLINK is not implemented. linkLocation=https://bible.usccb.org/bible/readings/062126.cfm, friendlyName=Open official USCCB readings ↗</x:v>
      </x:c>
    </x:row>
    <x:row r="174">
      <x:c r="A174" s="40" t="n">
        <x:v>46195</x:v>
      </x:c>
      <x:c r="B174" s="41" t="str">
        <x:v>Monday</x:v>
      </x:c>
      <x:c r="C174" s="60" t="str">
        <x:v>Ordinary Time</x:v>
      </x:c>
      <x:c r="D174" s="41" t="str">
        <x:v>Weekday in Ordinary Time</x:v>
      </x:c>
      <x:c r="E174" s="41" t="str">
        <x:v>Weekday</x:v>
      </x:c>
      <x:c r="F174" s="42" t="str">
        <x:v>Saint Paulinus of Nola; Saints John Fisher and Thomas More [Optional Memorial]</x:v>
      </x:c>
      <x:c r="G174" s="42" t="str">
        <x:v>✦</x:v>
      </x:c>
      <x:c r="H174" s="42" t="str"/>
      <x:c r="I174" s="42" t="str"/>
      <x:c r="J174" s="42" t="str"/>
      <x:c r="K174" s="42" t="str"/>
      <x:c r="L174" s="42" t="str"/>
      <x:c r="M174" s="42" t="str"/>
      <x:c r="N174" s="42" t="str">
        <x:v>https://www.usccb.org/resources/2026cal.pdf</x:v>
      </x:c>
      <x:c r="O174" s="115" t="e">
        <x:f>HYPERLINK("https://bible.usccb.org/bible/readings/062226.cfm","Open official USCCB readings ↗")</x:f>
        <x:v>HYPERLINK is not implemented. linkLocation=https://bible.usccb.org/bible/readings/062226.cfm, friendlyName=Open official USCCB readings ↗</x:v>
      </x:c>
    </x:row>
    <x:row r="175">
      <x:c r="A175" s="40" t="n">
        <x:v>46196</x:v>
      </x:c>
      <x:c r="B175" s="41" t="str">
        <x:v>Tuesday</x:v>
      </x:c>
      <x:c r="C175" s="60" t="str">
        <x:v>Ordinary Time</x:v>
      </x:c>
      <x:c r="D175" s="41" t="str">
        <x:v>Weekday in Ordinary Time</x:v>
      </x:c>
      <x:c r="E175" s="41" t="str">
        <x:v>Weekday</x:v>
      </x:c>
      <x:c r="F175" s="42" t="str"/>
      <x:c r="G175" s="42" t="str"/>
      <x:c r="H175" s="42" t="str"/>
      <x:c r="I175" s="42" t="str"/>
      <x:c r="J175" s="42" t="str"/>
      <x:c r="K175" s="42" t="str"/>
      <x:c r="L175" s="42" t="str"/>
      <x:c r="M175" s="42" t="str"/>
      <x:c r="N175" s="42" t="str">
        <x:v>https://www.usccb.org/resources/2026cal.pdf</x:v>
      </x:c>
      <x:c r="O175" s="115" t="e">
        <x:f>HYPERLINK("https://bible.usccb.org/bible/readings/062326.cfm","Open official USCCB readings ↗")</x:f>
        <x:v>HYPERLINK is not implemented. linkLocation=https://bible.usccb.org/bible/readings/062326.cfm, friendlyName=Open official USCCB readings ↗</x:v>
      </x:c>
    </x:row>
    <x:row r="176">
      <x:c r="A176" s="40" t="n">
        <x:v>46197</x:v>
      </x:c>
      <x:c r="B176" s="41" t="str">
        <x:v>Wednesday</x:v>
      </x:c>
      <x:c r="C176" s="60" t="str">
        <x:v>Ordinary Time</x:v>
      </x:c>
      <x:c r="D176" s="41" t="str">
        <x:v>Nativity of Saint John the Baptist</x:v>
      </x:c>
      <x:c r="E176" s="41" t="str">
        <x:v>Solemnity</x:v>
      </x:c>
      <x:c r="F176" s="42" t="str">
        <x:v>Nativity of Saint John the Baptist [Solemnity]</x:v>
      </x:c>
      <x:c r="G176" s="42" t="str">
        <x:v>★ ✦</x:v>
      </x:c>
      <x:c r="H176" s="42" t="str"/>
      <x:c r="I176" s="42" t="str"/>
      <x:c r="J176" s="42" t="str"/>
      <x:c r="K176" s="42" t="str"/>
      <x:c r="L176" s="42" t="str"/>
      <x:c r="M176" s="42" t="str"/>
      <x:c r="N176" s="42" t="str">
        <x:v>https://www.usccb.org/resources/2026cal.pdf</x:v>
      </x:c>
      <x:c r="O176" s="115" t="e">
        <x:f>HYPERLINK("https://bible.usccb.org/bible/readings/062426.cfm","Open official USCCB readings ↗")</x:f>
        <x:v>HYPERLINK is not implemented. linkLocation=https://bible.usccb.org/bible/readings/062426.cfm, friendlyName=Open official USCCB readings ↗</x:v>
      </x:c>
    </x:row>
    <x:row r="177">
      <x:c r="A177" s="40" t="n">
        <x:v>46198</x:v>
      </x:c>
      <x:c r="B177" s="41" t="str">
        <x:v>Thursday</x:v>
      </x:c>
      <x:c r="C177" s="60" t="str">
        <x:v>Ordinary Time</x:v>
      </x:c>
      <x:c r="D177" s="41" t="str">
        <x:v>Weekday in Ordinary Time</x:v>
      </x:c>
      <x:c r="E177" s="41" t="str">
        <x:v>Weekday</x:v>
      </x:c>
      <x:c r="F177" s="42" t="str"/>
      <x:c r="G177" s="42" t="str"/>
      <x:c r="H177" s="42" t="str"/>
      <x:c r="I177" s="42" t="str"/>
      <x:c r="J177" s="42" t="str"/>
      <x:c r="K177" s="42" t="str"/>
      <x:c r="L177" s="42" t="str"/>
      <x:c r="M177" s="42" t="str"/>
      <x:c r="N177" s="42" t="str">
        <x:v>https://www.usccb.org/resources/2026cal.pdf</x:v>
      </x:c>
      <x:c r="O177" s="115" t="e">
        <x:f>HYPERLINK("https://bible.usccb.org/bible/readings/062526.cfm","Open official USCCB readings ↗")</x:f>
        <x:v>HYPERLINK is not implemented. linkLocation=https://bible.usccb.org/bible/readings/062526.cfm, friendlyName=Open official USCCB readings ↗</x:v>
      </x:c>
    </x:row>
    <x:row r="178">
      <x:c r="A178" s="40" t="n">
        <x:v>46199</x:v>
      </x:c>
      <x:c r="B178" s="41" t="str">
        <x:v>Friday</x:v>
      </x:c>
      <x:c r="C178" s="60" t="str">
        <x:v>Ordinary Time</x:v>
      </x:c>
      <x:c r="D178" s="41" t="str">
        <x:v>Weekday in Ordinary Time</x:v>
      </x:c>
      <x:c r="E178" s="41" t="str">
        <x:v>Weekday</x:v>
      </x:c>
      <x:c r="F178" s="42" t="str"/>
      <x:c r="G178" s="42" t="str">
        <x:v>Ⓟ</x:v>
      </x:c>
      <x:c r="H178" s="42" t="str"/>
      <x:c r="I178" s="42" t="str"/>
      <x:c r="J178" s="56" t="str">
        <x:v>Friday penance — outside Lent, U.S. Catholics may choose an appropriate penitential practice</x:v>
      </x:c>
      <x:c r="K178" s="42" t="str"/>
      <x:c r="L178" s="42" t="str"/>
      <x:c r="M178" s="42" t="str"/>
      <x:c r="N178" s="42" t="str">
        <x:v>https://www.usccb.org/resources/2026cal.pdf
https://www.usccb.org/prayer-and-worship/liturgical-year-and-calendar/lent/catholic-information-on-lenten-fast-and-abstinence</x:v>
      </x:c>
      <x:c r="O178" s="115" t="e">
        <x:f>HYPERLINK("https://bible.usccb.org/bible/readings/062626.cfm","Open official USCCB readings ↗")</x:f>
        <x:v>HYPERLINK is not implemented. linkLocation=https://bible.usccb.org/bible/readings/062626.cfm, friendlyName=Open official USCCB readings ↗</x:v>
      </x:c>
    </x:row>
    <x:row r="179">
      <x:c r="A179" s="40" t="n">
        <x:v>46200</x:v>
      </x:c>
      <x:c r="B179" s="41" t="str">
        <x:v>Saturday</x:v>
      </x:c>
      <x:c r="C179" s="60" t="str">
        <x:v>Ordinary Time</x:v>
      </x:c>
      <x:c r="D179" s="41" t="str">
        <x:v>Weekday in Ordinary Time</x:v>
      </x:c>
      <x:c r="E179" s="41" t="str">
        <x:v>Weekday</x:v>
      </x:c>
      <x:c r="F179" s="42" t="str">
        <x:v>Saint Cyril of Alexandria [Optional Memorial]</x:v>
      </x:c>
      <x:c r="G179" s="42" t="str">
        <x:v>✦</x:v>
      </x:c>
      <x:c r="H179" s="42" t="str"/>
      <x:c r="I179" s="42" t="str"/>
      <x:c r="J179" s="42" t="str"/>
      <x:c r="K179" s="42" t="str"/>
      <x:c r="L179" s="42" t="str"/>
      <x:c r="M179" s="42" t="str"/>
      <x:c r="N179" s="42" t="str">
        <x:v>https://www.usccb.org/resources/2026cal.pdf</x:v>
      </x:c>
      <x:c r="O179" s="115" t="e">
        <x:f>HYPERLINK("https://bible.usccb.org/bible/readings/062726.cfm","Open official USCCB readings ↗")</x:f>
        <x:v>HYPERLINK is not implemented. linkLocation=https://bible.usccb.org/bible/readings/062726.cfm, friendlyName=Open official USCCB readings ↗</x:v>
      </x:c>
    </x:row>
    <x:row r="180">
      <x:c r="A180" s="40" t="n">
        <x:v>46201</x:v>
      </x:c>
      <x:c r="B180" s="41" t="str">
        <x:v>Sunday</x:v>
      </x:c>
      <x:c r="C180" s="60" t="str">
        <x:v>Ordinary Time</x:v>
      </x:c>
      <x:c r="D180" s="41" t="str">
        <x:v>Thirteenth Sunday in Ordinary Time</x:v>
      </x:c>
      <x:c r="E180" s="41" t="str">
        <x:v>Sunday</x:v>
      </x:c>
      <x:c r="F180" s="42" t="str">
        <x:v>Saint Irenaeus [Memorial]</x:v>
      </x:c>
      <x:c r="G180" s="42" t="str">
        <x:v>✦ ⛪</x:v>
      </x:c>
      <x:c r="H180" s="52" t="str">
        <x:v>⛪ Sunday Mass obligation</x:v>
      </x:c>
      <x:c r="I180" s="42" t="str"/>
      <x:c r="J180" s="42" t="str"/>
      <x:c r="K180" s="42" t="str"/>
      <x:c r="L180" s="42" t="str"/>
      <x:c r="M180" s="42" t="str">
        <x:v>A fixed observance also falls today, but the Sunday or higher-ranking celebration takes liturgical precedence.</x:v>
      </x:c>
      <x:c r="N180" s="42" t="str">
        <x:v>https://www.usccb.org/resources/2026cal.pdf
https://www.usccb.org/beliefs-and-teachings/what-we-believe/canon-law/complementary-norms/canon-1246</x:v>
      </x:c>
      <x:c r="O180" s="115" t="e">
        <x:f>HYPERLINK("https://bible.usccb.org/bible/readings/062826.cfm","Open official USCCB readings ↗")</x:f>
        <x:v>HYPERLINK is not implemented. linkLocation=https://bible.usccb.org/bible/readings/062826.cfm, friendlyName=Open official USCCB readings ↗</x:v>
      </x:c>
    </x:row>
    <x:row r="181">
      <x:c r="A181" s="40" t="n">
        <x:v>46202</x:v>
      </x:c>
      <x:c r="B181" s="41" t="str">
        <x:v>Monday</x:v>
      </x:c>
      <x:c r="C181" s="60" t="str">
        <x:v>Ordinary Time</x:v>
      </x:c>
      <x:c r="D181" s="41" t="str">
        <x:v>Saints Peter and Paul, Apostles</x:v>
      </x:c>
      <x:c r="E181" s="41" t="str">
        <x:v>Solemnity</x:v>
      </x:c>
      <x:c r="F181" s="42" t="str">
        <x:v>Saints Peter and Paul, Apostles [Solemnity]</x:v>
      </x:c>
      <x:c r="G181" s="42" t="str">
        <x:v>★ ✦ 🕯</x:v>
      </x:c>
      <x:c r="H181" s="42" t="str"/>
      <x:c r="I181" s="42" t="str"/>
      <x:c r="J181" s="42" t="str"/>
      <x:c r="K181" s="58" t="str">
        <x:v>🕯 Franciscan summer Lent — historical Franciscan practice</x:v>
      </x:c>
      <x:c r="L181" s="42" t="str"/>
      <x:c r="M181" s="42" t="str"/>
      <x:c r="N181" s="42" t="str">
        <x:v>https://www.usccb.org/resources/2026cal.pdf
https://www.franciscantradition.org/blog/the-five-lents-of-francis-vjkyuy/</x:v>
      </x:c>
      <x:c r="O181" s="115" t="e">
        <x:f>HYPERLINK("https://bible.usccb.org/bible/readings/062926.cfm","Open official USCCB readings ↗")</x:f>
        <x:v>HYPERLINK is not implemented. linkLocation=https://bible.usccb.org/bible/readings/062926.cfm, friendlyName=Open official USCCB readings ↗</x:v>
      </x:c>
    </x:row>
    <x:row r="182">
      <x:c r="A182" s="40" t="n">
        <x:v>46203</x:v>
      </x:c>
      <x:c r="B182" s="41" t="str">
        <x:v>Tuesday</x:v>
      </x:c>
      <x:c r="C182" s="60" t="str">
        <x:v>Ordinary Time</x:v>
      </x:c>
      <x:c r="D182" s="41" t="str">
        <x:v>Weekday in Ordinary Time</x:v>
      </x:c>
      <x:c r="E182" s="41" t="str">
        <x:v>Weekday</x:v>
      </x:c>
      <x:c r="F182" s="42" t="str">
        <x:v>First Martyrs of the Holy Roman Church [Optional Memorial]</x:v>
      </x:c>
      <x:c r="G182" s="42" t="str">
        <x:v>✦ 🕯</x:v>
      </x:c>
      <x:c r="H182" s="42" t="str"/>
      <x:c r="I182" s="42" t="str"/>
      <x:c r="J182" s="42" t="str"/>
      <x:c r="K182" s="58" t="str">
        <x:v>🕯 Franciscan summer Lent — historical Franciscan practice</x:v>
      </x:c>
      <x:c r="L182" s="42" t="str"/>
      <x:c r="M182" s="42" t="str"/>
      <x:c r="N182" s="42" t="str">
        <x:v>https://www.usccb.org/resources/2026cal.pdf
https://www.franciscantradition.org/blog/the-five-lents-of-francis-vjkyuy/</x:v>
      </x:c>
      <x:c r="O182" s="115" t="e">
        <x:f>HYPERLINK("https://bible.usccb.org/bible/readings/063026.cfm","Open official USCCB readings ↗")</x:f>
        <x:v>HYPERLINK is not implemented. linkLocation=https://bible.usccb.org/bible/readings/063026.cfm, friendlyName=Open official USCCB readings ↗</x:v>
      </x:c>
    </x:row>
    <x:row r="183">
      <x:c r="A183" s="40" t="n">
        <x:v>46204</x:v>
      </x:c>
      <x:c r="B183" s="41" t="str">
        <x:v>Wednesday</x:v>
      </x:c>
      <x:c r="C183" s="60" t="str">
        <x:v>Ordinary Time</x:v>
      </x:c>
      <x:c r="D183" s="41" t="str">
        <x:v>Weekday in Ordinary Time</x:v>
      </x:c>
      <x:c r="E183" s="41" t="str">
        <x:v>Weekday</x:v>
      </x:c>
      <x:c r="F183" s="42" t="str">
        <x:v>Saint Junípero Serra [Optional Memorial]</x:v>
      </x:c>
      <x:c r="G183" s="42" t="str">
        <x:v>✦ 🕯</x:v>
      </x:c>
      <x:c r="H183" s="42" t="str"/>
      <x:c r="I183" s="42" t="str"/>
      <x:c r="J183" s="42" t="str"/>
      <x:c r="K183" s="58" t="str">
        <x:v>🕯 Franciscan summer Lent — historical Franciscan practice</x:v>
      </x:c>
      <x:c r="L183" s="42" t="str"/>
      <x:c r="M183" s="42" t="str"/>
      <x:c r="N183" s="42" t="str">
        <x:v>https://www.usccb.org/resources/2026cal.pdf
https://www.franciscantradition.org/blog/the-five-lents-of-francis-vjkyuy/</x:v>
      </x:c>
      <x:c r="O183" s="115" t="e">
        <x:f>HYPERLINK("https://bible.usccb.org/bible/readings/070126.cfm","Open official USCCB readings ↗")</x:f>
        <x:v>HYPERLINK is not implemented. linkLocation=https://bible.usccb.org/bible/readings/070126.cfm, friendlyName=Open official USCCB readings ↗</x:v>
      </x:c>
    </x:row>
    <x:row r="184">
      <x:c r="A184" s="40" t="n">
        <x:v>46205</x:v>
      </x:c>
      <x:c r="B184" s="41" t="str">
        <x:v>Thursday</x:v>
      </x:c>
      <x:c r="C184" s="60" t="str">
        <x:v>Ordinary Time</x:v>
      </x:c>
      <x:c r="D184" s="41" t="str">
        <x:v>Weekday in Ordinary Time</x:v>
      </x:c>
      <x:c r="E184" s="41" t="str">
        <x:v>Weekday</x:v>
      </x:c>
      <x:c r="F184" s="42" t="str"/>
      <x:c r="G184" s="42" t="str">
        <x:v>🕯</x:v>
      </x:c>
      <x:c r="H184" s="42" t="str"/>
      <x:c r="I184" s="42" t="str"/>
      <x:c r="J184" s="42" t="str"/>
      <x:c r="K184" s="58" t="str">
        <x:v>🕯 Franciscan summer Lent — historical Franciscan practice</x:v>
      </x:c>
      <x:c r="L184" s="42" t="str"/>
      <x:c r="M184" s="42" t="str"/>
      <x:c r="N184" s="42" t="str">
        <x:v>https://www.usccb.org/resources/2026cal.pdf
https://www.franciscantradition.org/blog/the-five-lents-of-francis-vjkyuy/</x:v>
      </x:c>
      <x:c r="O184" s="115" t="e">
        <x:f>HYPERLINK("https://bible.usccb.org/bible/readings/070226.cfm","Open official USCCB readings ↗")</x:f>
        <x:v>HYPERLINK is not implemented. linkLocation=https://bible.usccb.org/bible/readings/070226.cfm, friendlyName=Open official USCCB readings ↗</x:v>
      </x:c>
    </x:row>
    <x:row r="185">
      <x:c r="A185" s="40" t="n">
        <x:v>46206</x:v>
      </x:c>
      <x:c r="B185" s="41" t="str">
        <x:v>Friday</x:v>
      </x:c>
      <x:c r="C185" s="60" t="str">
        <x:v>Ordinary Time</x:v>
      </x:c>
      <x:c r="D185" s="41" t="str">
        <x:v>Saint Thomas, Apostle</x:v>
      </x:c>
      <x:c r="E185" s="41" t="str">
        <x:v>Feast</x:v>
      </x:c>
      <x:c r="F185" s="42" t="str">
        <x:v>Saint Thomas, Apostle [Feast]</x:v>
      </x:c>
      <x:c r="G185" s="42" t="str">
        <x:v>★ ✦ 🙏 Ⓟ 🕯</x:v>
      </x:c>
      <x:c r="H185" s="42" t="str"/>
      <x:c r="I185" s="54" t="str">
        <x:v>❤ First Friday — Sacred Heart devotion</x:v>
      </x:c>
      <x:c r="J185" s="56" t="str">
        <x:v>Friday penance — outside Lent, U.S. Catholics may choose an appropriate penitential practice</x:v>
      </x:c>
      <x:c r="K185" s="58" t="str">
        <x:v>🕯 Franciscan summer Lent — historical Franciscan practice</x:v>
      </x:c>
      <x:c r="L185" s="42" t="str"/>
      <x:c r="M185" s="42" t="str"/>
      <x:c r="N185" s="42" t="str">
        <x:v>https://www.usccb.org/resources/2026cal.pdf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185" s="115" t="e">
        <x:f>HYPERLINK("https://bible.usccb.org/bible/readings/070326.cfm","Open official USCCB readings ↗")</x:f>
        <x:v>HYPERLINK is not implemented. linkLocation=https://bible.usccb.org/bible/readings/070326.cfm, friendlyName=Open official USCCB readings ↗</x:v>
      </x:c>
    </x:row>
    <x:row r="186">
      <x:c r="A186" s="40" t="n">
        <x:v>46207</x:v>
      </x:c>
      <x:c r="B186" s="41" t="str">
        <x:v>Saturday</x:v>
      </x:c>
      <x:c r="C186" s="60" t="str">
        <x:v>Ordinary Time</x:v>
      </x:c>
      <x:c r="D186" s="41" t="str">
        <x:v>Weekday in Ordinary Time</x:v>
      </x:c>
      <x:c r="E186" s="41" t="str">
        <x:v>Weekday</x:v>
      </x:c>
      <x:c r="F186" s="48" t="str"/>
      <x:c r="G186" s="42" t="str">
        <x:v>🙏 🌹 🕯</x:v>
      </x:c>
      <x:c r="H186" s="42" t="str"/>
      <x:c r="I186" s="54" t="str">
        <x:v>🌹 First Saturday — Immaculate Heart devotion</x:v>
      </x:c>
      <x:c r="J186" s="42" t="str"/>
      <x:c r="K186" s="58" t="str">
        <x:v>🕯 Franciscan summer Lent — historical Franciscan practice</x:v>
      </x:c>
      <x:c r="L186" s="42" t="str"/>
      <x:c r="M186" s="42" t="str"/>
      <x:c r="N186" s="42" t="str">
        <x:v>https://www.usccb.org/resources/2026cal.pdf
https://www.ewtn.com/catholicism/library/revelation-of-the-immaculate-heart-at-fatima-in-1917-5465
https://www.franciscantradition.org/blog/the-five-lents-of-francis-vjkyuy/</x:v>
      </x:c>
      <x:c r="O186" s="115" t="e">
        <x:f>HYPERLINK("https://bible.usccb.org/bible/readings/070426.cfm","Open official USCCB readings ↗")</x:f>
        <x:v>HYPERLINK is not implemented. linkLocation=https://bible.usccb.org/bible/readings/070426.cfm, friendlyName=Open official USCCB readings ↗</x:v>
      </x:c>
    </x:row>
    <x:row r="187">
      <x:c r="A187" s="40" t="n">
        <x:v>46208</x:v>
      </x:c>
      <x:c r="B187" s="41" t="str">
        <x:v>Sunday</x:v>
      </x:c>
      <x:c r="C187" s="60" t="str">
        <x:v>Ordinary Time</x:v>
      </x:c>
      <x:c r="D187" s="41" t="str">
        <x:v>Fourteenth Sunday in Ordinary Time</x:v>
      </x:c>
      <x:c r="E187" s="41" t="str">
        <x:v>Sunday</x:v>
      </x:c>
      <x:c r="F187" s="42" t="str">
        <x:v>Saint Anthony Mary Zaccaria; Saint Elizabeth of Portugal [Optional Memorial]</x:v>
      </x:c>
      <x:c r="G187" s="42" t="str">
        <x:v>✦ ⛪ 🕯</x:v>
      </x:c>
      <x:c r="H187" s="52" t="str">
        <x:v>⛪ Sunday Mass obligation</x:v>
      </x:c>
      <x:c r="I187" s="42" t="str"/>
      <x:c r="J187" s="42" t="str"/>
      <x:c r="K187" s="58" t="str">
        <x:v>🕯 Franciscan summer Lent — historical Franciscan practice</x:v>
      </x:c>
      <x:c r="L187" s="42" t="str"/>
      <x:c r="M187" s="42" t="str">
        <x:v>A fixed observance also falls today, but the Sunday or higher-ranking celebration takes liturgical precedence.</x:v>
      </x:c>
      <x:c r="N187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187" s="115" t="e">
        <x:f>HYPERLINK("https://bible.usccb.org/bible/readings/070526.cfm","Open official USCCB readings ↗")</x:f>
        <x:v>HYPERLINK is not implemented. linkLocation=https://bible.usccb.org/bible/readings/070526.cfm, friendlyName=Open official USCCB readings ↗</x:v>
      </x:c>
    </x:row>
    <x:row r="188">
      <x:c r="A188" s="40" t="n">
        <x:v>46209</x:v>
      </x:c>
      <x:c r="B188" s="41" t="str">
        <x:v>Monday</x:v>
      </x:c>
      <x:c r="C188" s="60" t="str">
        <x:v>Ordinary Time</x:v>
      </x:c>
      <x:c r="D188" s="41" t="str">
        <x:v>Weekday in Ordinary Time</x:v>
      </x:c>
      <x:c r="E188" s="41" t="str">
        <x:v>Weekday</x:v>
      </x:c>
      <x:c r="F188" s="42" t="str">
        <x:v>Saint Maria Goretti [Optional Memorial]</x:v>
      </x:c>
      <x:c r="G188" s="42" t="str">
        <x:v>✦ 🕯</x:v>
      </x:c>
      <x:c r="H188" s="42" t="str"/>
      <x:c r="I188" s="42" t="str"/>
      <x:c r="J188" s="42" t="str"/>
      <x:c r="K188" s="58" t="str">
        <x:v>🕯 Franciscan summer Lent — historical Franciscan practice</x:v>
      </x:c>
      <x:c r="L188" s="42" t="str"/>
      <x:c r="M188" s="42" t="str"/>
      <x:c r="N188" s="42" t="str">
        <x:v>https://www.usccb.org/resources/2026cal.pdf
https://www.franciscantradition.org/blog/the-five-lents-of-francis-vjkyuy/</x:v>
      </x:c>
      <x:c r="O188" s="115" t="e">
        <x:f>HYPERLINK("https://bible.usccb.org/bible/readings/070626.cfm","Open official USCCB readings ↗")</x:f>
        <x:v>HYPERLINK is not implemented. linkLocation=https://bible.usccb.org/bible/readings/070626.cfm, friendlyName=Open official USCCB readings ↗</x:v>
      </x:c>
    </x:row>
    <x:row r="189">
      <x:c r="A189" s="40" t="n">
        <x:v>46210</x:v>
      </x:c>
      <x:c r="B189" s="41" t="str">
        <x:v>Tuesday</x:v>
      </x:c>
      <x:c r="C189" s="60" t="str">
        <x:v>Ordinary Time</x:v>
      </x:c>
      <x:c r="D189" s="41" t="str">
        <x:v>Weekday in Ordinary Time</x:v>
      </x:c>
      <x:c r="E189" s="41" t="str">
        <x:v>Weekday</x:v>
      </x:c>
      <x:c r="F189" s="42" t="str"/>
      <x:c r="G189" s="42" t="str">
        <x:v>🕯</x:v>
      </x:c>
      <x:c r="H189" s="42" t="str"/>
      <x:c r="I189" s="42" t="str"/>
      <x:c r="J189" s="42" t="str"/>
      <x:c r="K189" s="58" t="str">
        <x:v>🕯 Franciscan summer Lent — historical Franciscan practice</x:v>
      </x:c>
      <x:c r="L189" s="42" t="str"/>
      <x:c r="M189" s="42" t="str"/>
      <x:c r="N189" s="42" t="str">
        <x:v>https://www.usccb.org/resources/2026cal.pdf
https://www.franciscantradition.org/blog/the-five-lents-of-francis-vjkyuy/</x:v>
      </x:c>
      <x:c r="O189" s="115" t="e">
        <x:f>HYPERLINK("https://bible.usccb.org/bible/readings/070726.cfm","Open official USCCB readings ↗")</x:f>
        <x:v>HYPERLINK is not implemented. linkLocation=https://bible.usccb.org/bible/readings/070726.cfm, friendlyName=Open official USCCB readings ↗</x:v>
      </x:c>
    </x:row>
    <x:row r="190">
      <x:c r="A190" s="40" t="n">
        <x:v>46211</x:v>
      </x:c>
      <x:c r="B190" s="41" t="str">
        <x:v>Wednesday</x:v>
      </x:c>
      <x:c r="C190" s="60" t="str">
        <x:v>Ordinary Time</x:v>
      </x:c>
      <x:c r="D190" s="41" t="str">
        <x:v>Weekday in Ordinary Time</x:v>
      </x:c>
      <x:c r="E190" s="41" t="str">
        <x:v>Weekday</x:v>
      </x:c>
      <x:c r="F190" s="42" t="str"/>
      <x:c r="G190" s="42" t="str">
        <x:v>🕯</x:v>
      </x:c>
      <x:c r="H190" s="42" t="str"/>
      <x:c r="I190" s="42" t="str"/>
      <x:c r="J190" s="42" t="str"/>
      <x:c r="K190" s="58" t="str">
        <x:v>🕯 Franciscan summer Lent — historical Franciscan practice</x:v>
      </x:c>
      <x:c r="L190" s="42" t="str"/>
      <x:c r="M190" s="42" t="str"/>
      <x:c r="N190" s="42" t="str">
        <x:v>https://www.usccb.org/resources/2026cal.pdf
https://www.franciscantradition.org/blog/the-five-lents-of-francis-vjkyuy/</x:v>
      </x:c>
      <x:c r="O190" s="115" t="e">
        <x:f>HYPERLINK("https://bible.usccb.org/bible/readings/070826.cfm","Open official USCCB readings ↗")</x:f>
        <x:v>HYPERLINK is not implemented. linkLocation=https://bible.usccb.org/bible/readings/070826.cfm, friendlyName=Open official USCCB readings ↗</x:v>
      </x:c>
    </x:row>
    <x:row r="191">
      <x:c r="A191" s="40" t="n">
        <x:v>46212</x:v>
      </x:c>
      <x:c r="B191" s="41" t="str">
        <x:v>Thursday</x:v>
      </x:c>
      <x:c r="C191" s="60" t="str">
        <x:v>Ordinary Time</x:v>
      </x:c>
      <x:c r="D191" s="41" t="str">
        <x:v>Weekday in Ordinary Time</x:v>
      </x:c>
      <x:c r="E191" s="41" t="str">
        <x:v>Weekday</x:v>
      </x:c>
      <x:c r="F191" s="42" t="str">
        <x:v>Saint Augustine Zhao Rong and Companions [Optional Memorial]</x:v>
      </x:c>
      <x:c r="G191" s="42" t="str">
        <x:v>✦ 🕯</x:v>
      </x:c>
      <x:c r="H191" s="42" t="str"/>
      <x:c r="I191" s="42" t="str"/>
      <x:c r="J191" s="42" t="str"/>
      <x:c r="K191" s="58" t="str">
        <x:v>🕯 Franciscan summer Lent — historical Franciscan practice</x:v>
      </x:c>
      <x:c r="L191" s="42" t="str"/>
      <x:c r="M191" s="42" t="str"/>
      <x:c r="N191" s="42" t="str">
        <x:v>https://www.usccb.org/resources/2026cal.pdf
https://www.franciscantradition.org/blog/the-five-lents-of-francis-vjkyuy/</x:v>
      </x:c>
      <x:c r="O191" s="115" t="e">
        <x:f>HYPERLINK("https://bible.usccb.org/bible/readings/070926.cfm","Open official USCCB readings ↗")</x:f>
        <x:v>HYPERLINK is not implemented. linkLocation=https://bible.usccb.org/bible/readings/070926.cfm, friendlyName=Open official USCCB readings ↗</x:v>
      </x:c>
    </x:row>
    <x:row r="192">
      <x:c r="A192" s="40" t="n">
        <x:v>46213</x:v>
      </x:c>
      <x:c r="B192" s="41" t="str">
        <x:v>Friday</x:v>
      </x:c>
      <x:c r="C192" s="60" t="str">
        <x:v>Ordinary Time</x:v>
      </x:c>
      <x:c r="D192" s="41" t="str">
        <x:v>Weekday in Ordinary Time</x:v>
      </x:c>
      <x:c r="E192" s="41" t="str">
        <x:v>Weekday</x:v>
      </x:c>
      <x:c r="F192" s="42" t="str"/>
      <x:c r="G192" s="42" t="str">
        <x:v>Ⓟ 🕯</x:v>
      </x:c>
      <x:c r="H192" s="42" t="str"/>
      <x:c r="I192" s="42" t="str"/>
      <x:c r="J192" s="56" t="str">
        <x:v>Friday penance — outside Lent, U.S. Catholics may choose an appropriate penitential practice</x:v>
      </x:c>
      <x:c r="K192" s="58" t="str">
        <x:v>🕯 Franciscan summer Lent — historical Franciscan practice</x:v>
      </x:c>
      <x:c r="L192" s="42" t="str"/>
      <x:c r="M192" s="42" t="str"/>
      <x:c r="N192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92" s="115" t="e">
        <x:f>HYPERLINK("https://bible.usccb.org/bible/readings/071026.cfm","Open official USCCB readings ↗")</x:f>
        <x:v>HYPERLINK is not implemented. linkLocation=https://bible.usccb.org/bible/readings/071026.cfm, friendlyName=Open official USCCB readings ↗</x:v>
      </x:c>
    </x:row>
    <x:row r="193">
      <x:c r="A193" s="40" t="n">
        <x:v>46214</x:v>
      </x:c>
      <x:c r="B193" s="41" t="str">
        <x:v>Saturday</x:v>
      </x:c>
      <x:c r="C193" s="60" t="str">
        <x:v>Ordinary Time</x:v>
      </x:c>
      <x:c r="D193" s="41" t="str">
        <x:v>Saint Benedict</x:v>
      </x:c>
      <x:c r="E193" s="41" t="str">
        <x:v>Memorial</x:v>
      </x:c>
      <x:c r="F193" s="42" t="str">
        <x:v>Saint Benedict [Memorial]</x:v>
      </x:c>
      <x:c r="G193" s="42" t="str">
        <x:v>✦ 🕯</x:v>
      </x:c>
      <x:c r="H193" s="42" t="str"/>
      <x:c r="I193" s="42" t="str"/>
      <x:c r="J193" s="42" t="str"/>
      <x:c r="K193" s="58" t="str">
        <x:v>🕯 Franciscan summer Lent — historical Franciscan practice</x:v>
      </x:c>
      <x:c r="L193" s="42" t="str"/>
      <x:c r="M193" s="42" t="str"/>
      <x:c r="N193" s="42" t="str">
        <x:v>https://www.usccb.org/resources/2026cal.pdf
https://www.franciscantradition.org/blog/the-five-lents-of-francis-vjkyuy/</x:v>
      </x:c>
      <x:c r="O193" s="115" t="e">
        <x:f>HYPERLINK("https://bible.usccb.org/bible/readings/071126.cfm","Open official USCCB readings ↗")</x:f>
        <x:v>HYPERLINK is not implemented. linkLocation=https://bible.usccb.org/bible/readings/071126.cfm, friendlyName=Open official USCCB readings ↗</x:v>
      </x:c>
    </x:row>
    <x:row r="194">
      <x:c r="A194" s="40" t="n">
        <x:v>46215</x:v>
      </x:c>
      <x:c r="B194" s="41" t="str">
        <x:v>Sunday</x:v>
      </x:c>
      <x:c r="C194" s="60" t="str">
        <x:v>Ordinary Time</x:v>
      </x:c>
      <x:c r="D194" s="41" t="str">
        <x:v>Fifteenth Sunday in Ordinary Time</x:v>
      </x:c>
      <x:c r="E194" s="41" t="str">
        <x:v>Sunday</x:v>
      </x:c>
      <x:c r="F194" s="42" t="str"/>
      <x:c r="G194" s="42" t="str">
        <x:v>⛪ 🕯</x:v>
      </x:c>
      <x:c r="H194" s="52" t="str">
        <x:v>⛪ Sunday Mass obligation</x:v>
      </x:c>
      <x:c r="I194" s="42" t="str"/>
      <x:c r="J194" s="42" t="str"/>
      <x:c r="K194" s="58" t="str">
        <x:v>🕯 Franciscan summer Lent — historical Franciscan practice</x:v>
      </x:c>
      <x:c r="L194" s="42" t="str"/>
      <x:c r="M194" s="42" t="str"/>
      <x:c r="N194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194" s="115" t="e">
        <x:f>HYPERLINK("https://bible.usccb.org/bible/readings/071226.cfm","Open official USCCB readings ↗")</x:f>
        <x:v>HYPERLINK is not implemented. linkLocation=https://bible.usccb.org/bible/readings/071226.cfm, friendlyName=Open official USCCB readings ↗</x:v>
      </x:c>
    </x:row>
    <x:row r="195">
      <x:c r="A195" s="40" t="n">
        <x:v>46216</x:v>
      </x:c>
      <x:c r="B195" s="41" t="str">
        <x:v>Monday</x:v>
      </x:c>
      <x:c r="C195" s="60" t="str">
        <x:v>Ordinary Time</x:v>
      </x:c>
      <x:c r="D195" s="41" t="str">
        <x:v>Weekday in Ordinary Time</x:v>
      </x:c>
      <x:c r="E195" s="41" t="str">
        <x:v>Weekday</x:v>
      </x:c>
      <x:c r="F195" s="42" t="str">
        <x:v>Saint Henry [Optional Memorial]</x:v>
      </x:c>
      <x:c r="G195" s="42" t="str">
        <x:v>✦ 🕯</x:v>
      </x:c>
      <x:c r="H195" s="42" t="str"/>
      <x:c r="I195" s="42" t="str"/>
      <x:c r="J195" s="42" t="str"/>
      <x:c r="K195" s="58" t="str">
        <x:v>🕯 Franciscan summer Lent — historical Franciscan practice</x:v>
      </x:c>
      <x:c r="L195" s="42" t="str"/>
      <x:c r="M195" s="42" t="str"/>
      <x:c r="N195" s="42" t="str">
        <x:v>https://www.usccb.org/resources/2026cal.pdf
https://www.franciscantradition.org/blog/the-five-lents-of-francis-vjkyuy/</x:v>
      </x:c>
      <x:c r="O195" s="115" t="e">
        <x:f>HYPERLINK("https://bible.usccb.org/bible/readings/071326.cfm","Open official USCCB readings ↗")</x:f>
        <x:v>HYPERLINK is not implemented. linkLocation=https://bible.usccb.org/bible/readings/071326.cfm, friendlyName=Open official USCCB readings ↗</x:v>
      </x:c>
    </x:row>
    <x:row r="196">
      <x:c r="A196" s="40" t="n">
        <x:v>46217</x:v>
      </x:c>
      <x:c r="B196" s="41" t="str">
        <x:v>Tuesday</x:v>
      </x:c>
      <x:c r="C196" s="60" t="str">
        <x:v>Ordinary Time</x:v>
      </x:c>
      <x:c r="D196" s="41" t="str">
        <x:v>Saint Kateri Tekakwitha</x:v>
      </x:c>
      <x:c r="E196" s="41" t="str">
        <x:v>Memorial</x:v>
      </x:c>
      <x:c r="F196" s="42" t="str">
        <x:v>Saint Kateri Tekakwitha [Memorial]</x:v>
      </x:c>
      <x:c r="G196" s="42" t="str">
        <x:v>✦ 🕯</x:v>
      </x:c>
      <x:c r="H196" s="42" t="str"/>
      <x:c r="I196" s="42" t="str"/>
      <x:c r="J196" s="42" t="str"/>
      <x:c r="K196" s="58" t="str">
        <x:v>🕯 Franciscan summer Lent — historical Franciscan practice</x:v>
      </x:c>
      <x:c r="L196" s="42" t="str"/>
      <x:c r="M196" s="42" t="str"/>
      <x:c r="N196" s="42" t="str">
        <x:v>https://www.usccb.org/resources/2026cal.pdf
https://www.franciscantradition.org/blog/the-five-lents-of-francis-vjkyuy/</x:v>
      </x:c>
      <x:c r="O196" s="115" t="e">
        <x:f>HYPERLINK("https://bible.usccb.org/bible/readings/071426.cfm","Open official USCCB readings ↗")</x:f>
        <x:v>HYPERLINK is not implemented. linkLocation=https://bible.usccb.org/bible/readings/071426.cfm, friendlyName=Open official USCCB readings ↗</x:v>
      </x:c>
    </x:row>
    <x:row r="197">
      <x:c r="A197" s="40" t="n">
        <x:v>46218</x:v>
      </x:c>
      <x:c r="B197" s="41" t="str">
        <x:v>Wednesday</x:v>
      </x:c>
      <x:c r="C197" s="60" t="str">
        <x:v>Ordinary Time</x:v>
      </x:c>
      <x:c r="D197" s="41" t="str">
        <x:v>Saint Bonaventure</x:v>
      </x:c>
      <x:c r="E197" s="41" t="str">
        <x:v>Memorial</x:v>
      </x:c>
      <x:c r="F197" s="42" t="str">
        <x:v>Saint Bonaventure [Memorial]</x:v>
      </x:c>
      <x:c r="G197" s="42" t="str">
        <x:v>✦ 🕯</x:v>
      </x:c>
      <x:c r="H197" s="42" t="str"/>
      <x:c r="I197" s="42" t="str"/>
      <x:c r="J197" s="42" t="str"/>
      <x:c r="K197" s="58" t="str">
        <x:v>🕯 Franciscan summer Lent — historical Franciscan practice</x:v>
      </x:c>
      <x:c r="L197" s="42" t="str"/>
      <x:c r="M197" s="42" t="str"/>
      <x:c r="N197" s="42" t="str">
        <x:v>https://www.usccb.org/resources/2026cal.pdf
https://www.franciscantradition.org/blog/the-five-lents-of-francis-vjkyuy/</x:v>
      </x:c>
      <x:c r="O197" s="115" t="e">
        <x:f>HYPERLINK("https://bible.usccb.org/bible/readings/071526.cfm","Open official USCCB readings ↗")</x:f>
        <x:v>HYPERLINK is not implemented. linkLocation=https://bible.usccb.org/bible/readings/071526.cfm, friendlyName=Open official USCCB readings ↗</x:v>
      </x:c>
    </x:row>
    <x:row r="198">
      <x:c r="A198" s="40" t="n">
        <x:v>46219</x:v>
      </x:c>
      <x:c r="B198" s="41" t="str">
        <x:v>Thursday</x:v>
      </x:c>
      <x:c r="C198" s="60" t="str">
        <x:v>Ordinary Time</x:v>
      </x:c>
      <x:c r="D198" s="41" t="str">
        <x:v>Weekday in Ordinary Time</x:v>
      </x:c>
      <x:c r="E198" s="41" t="str">
        <x:v>Weekday</x:v>
      </x:c>
      <x:c r="F198" s="48" t="str">
        <x:v>Our Lady of Mount Carmel [Optional Memorial]</x:v>
      </x:c>
      <x:c r="G198" s="42" t="str">
        <x:v>🌹 🕯</x:v>
      </x:c>
      <x:c r="H198" s="42" t="str"/>
      <x:c r="I198" s="42" t="str"/>
      <x:c r="J198" s="42" t="str"/>
      <x:c r="K198" s="58" t="str">
        <x:v>🕯 Franciscan summer Lent — historical Franciscan practice</x:v>
      </x:c>
      <x:c r="L198" s="42" t="str"/>
      <x:c r="M198" s="42" t="str"/>
      <x:c r="N198" s="42" t="str">
        <x:v>https://www.usccb.org/resources/2026cal.pdf
https://www.franciscantradition.org/blog/the-five-lents-of-francis-vjkyuy/</x:v>
      </x:c>
      <x:c r="O198" s="115" t="e">
        <x:f>HYPERLINK("https://bible.usccb.org/bible/readings/071626.cfm","Open official USCCB readings ↗")</x:f>
        <x:v>HYPERLINK is not implemented. linkLocation=https://bible.usccb.org/bible/readings/071626.cfm, friendlyName=Open official USCCB readings ↗</x:v>
      </x:c>
    </x:row>
    <x:row r="199">
      <x:c r="A199" s="40" t="n">
        <x:v>46220</x:v>
      </x:c>
      <x:c r="B199" s="41" t="str">
        <x:v>Friday</x:v>
      </x:c>
      <x:c r="C199" s="60" t="str">
        <x:v>Ordinary Time</x:v>
      </x:c>
      <x:c r="D199" s="41" t="str">
        <x:v>Weekday in Ordinary Time</x:v>
      </x:c>
      <x:c r="E199" s="41" t="str">
        <x:v>Weekday</x:v>
      </x:c>
      <x:c r="F199" s="42" t="str"/>
      <x:c r="G199" s="42" t="str">
        <x:v>Ⓟ 🕯</x:v>
      </x:c>
      <x:c r="H199" s="42" t="str"/>
      <x:c r="I199" s="42" t="str"/>
      <x:c r="J199" s="56" t="str">
        <x:v>Friday penance — outside Lent, U.S. Catholics may choose an appropriate penitential practice</x:v>
      </x:c>
      <x:c r="K199" s="58" t="str">
        <x:v>🕯 Franciscan summer Lent — historical Franciscan practice</x:v>
      </x:c>
      <x:c r="L199" s="42" t="str"/>
      <x:c r="M199" s="42" t="str"/>
      <x:c r="N199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99" s="115" t="e">
        <x:f>HYPERLINK("https://bible.usccb.org/bible/readings/071726.cfm","Open official USCCB readings ↗")</x:f>
        <x:v>HYPERLINK is not implemented. linkLocation=https://bible.usccb.org/bible/readings/071726.cfm, friendlyName=Open official USCCB readings ↗</x:v>
      </x:c>
    </x:row>
    <x:row r="200">
      <x:c r="A200" s="40" t="n">
        <x:v>46221</x:v>
      </x:c>
      <x:c r="B200" s="41" t="str">
        <x:v>Saturday</x:v>
      </x:c>
      <x:c r="C200" s="60" t="str">
        <x:v>Ordinary Time</x:v>
      </x:c>
      <x:c r="D200" s="41" t="str">
        <x:v>Weekday in Ordinary Time</x:v>
      </x:c>
      <x:c r="E200" s="41" t="str">
        <x:v>Weekday</x:v>
      </x:c>
      <x:c r="F200" s="42" t="str">
        <x:v>Saint Camillus de Lellis [Optional Memorial]</x:v>
      </x:c>
      <x:c r="G200" s="42" t="str">
        <x:v>✦ 🕯</x:v>
      </x:c>
      <x:c r="H200" s="42" t="str"/>
      <x:c r="I200" s="42" t="str"/>
      <x:c r="J200" s="42" t="str"/>
      <x:c r="K200" s="58" t="str">
        <x:v>🕯 Franciscan summer Lent — historical Franciscan practice</x:v>
      </x:c>
      <x:c r="L200" s="42" t="str"/>
      <x:c r="M200" s="42" t="str"/>
      <x:c r="N200" s="42" t="str">
        <x:v>https://www.usccb.org/resources/2026cal.pdf
https://www.franciscantradition.org/blog/the-five-lents-of-francis-vjkyuy/</x:v>
      </x:c>
      <x:c r="O200" s="115" t="e">
        <x:f>HYPERLINK("https://bible.usccb.org/bible/readings/071826.cfm","Open official USCCB readings ↗")</x:f>
        <x:v>HYPERLINK is not implemented. linkLocation=https://bible.usccb.org/bible/readings/071826.cfm, friendlyName=Open official USCCB readings ↗</x:v>
      </x:c>
    </x:row>
    <x:row r="201">
      <x:c r="A201" s="40" t="n">
        <x:v>46222</x:v>
      </x:c>
      <x:c r="B201" s="41" t="str">
        <x:v>Sunday</x:v>
      </x:c>
      <x:c r="C201" s="60" t="str">
        <x:v>Ordinary Time</x:v>
      </x:c>
      <x:c r="D201" s="41" t="str">
        <x:v>Sixteenth Sunday in Ordinary Time</x:v>
      </x:c>
      <x:c r="E201" s="41" t="str">
        <x:v>Sunday</x:v>
      </x:c>
      <x:c r="F201" s="42" t="str"/>
      <x:c r="G201" s="42" t="str">
        <x:v>⛪ 🕯</x:v>
      </x:c>
      <x:c r="H201" s="52" t="str">
        <x:v>⛪ Sunday Mass obligation</x:v>
      </x:c>
      <x:c r="I201" s="42" t="str"/>
      <x:c r="J201" s="42" t="str"/>
      <x:c r="K201" s="58" t="str">
        <x:v>🕯 Franciscan summer Lent — historical Franciscan practice</x:v>
      </x:c>
      <x:c r="L201" s="42" t="str"/>
      <x:c r="M201" s="42" t="str"/>
      <x:c r="N201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201" s="115" t="e">
        <x:f>HYPERLINK("https://bible.usccb.org/bible/readings/071926.cfm","Open official USCCB readings ↗")</x:f>
        <x:v>HYPERLINK is not implemented. linkLocation=https://bible.usccb.org/bible/readings/071926.cfm, friendlyName=Open official USCCB readings ↗</x:v>
      </x:c>
    </x:row>
    <x:row r="202">
      <x:c r="A202" s="40" t="n">
        <x:v>46223</x:v>
      </x:c>
      <x:c r="B202" s="41" t="str">
        <x:v>Monday</x:v>
      </x:c>
      <x:c r="C202" s="60" t="str">
        <x:v>Ordinary Time</x:v>
      </x:c>
      <x:c r="D202" s="41" t="str">
        <x:v>Weekday in Ordinary Time</x:v>
      </x:c>
      <x:c r="E202" s="41" t="str">
        <x:v>Weekday</x:v>
      </x:c>
      <x:c r="F202" s="42" t="str">
        <x:v>Saint Apollinaris [Optional Memorial]</x:v>
      </x:c>
      <x:c r="G202" s="42" t="str">
        <x:v>✦ 🕯</x:v>
      </x:c>
      <x:c r="H202" s="42" t="str"/>
      <x:c r="I202" s="42" t="str"/>
      <x:c r="J202" s="42" t="str"/>
      <x:c r="K202" s="58" t="str">
        <x:v>🕯 Franciscan summer Lent — historical Franciscan practice</x:v>
      </x:c>
      <x:c r="L202" s="42" t="str"/>
      <x:c r="M202" s="42" t="str"/>
      <x:c r="N202" s="42" t="str">
        <x:v>https://www.usccb.org/resources/2026cal.pdf
https://www.franciscantradition.org/blog/the-five-lents-of-francis-vjkyuy/</x:v>
      </x:c>
      <x:c r="O202" s="115" t="e">
        <x:f>HYPERLINK("https://bible.usccb.org/bible/readings/072026.cfm","Open official USCCB readings ↗")</x:f>
        <x:v>HYPERLINK is not implemented. linkLocation=https://bible.usccb.org/bible/readings/072026.cfm, friendlyName=Open official USCCB readings ↗</x:v>
      </x:c>
    </x:row>
    <x:row r="203">
      <x:c r="A203" s="40" t="n">
        <x:v>46224</x:v>
      </x:c>
      <x:c r="B203" s="41" t="str">
        <x:v>Tuesday</x:v>
      </x:c>
      <x:c r="C203" s="60" t="str">
        <x:v>Ordinary Time</x:v>
      </x:c>
      <x:c r="D203" s="41" t="str">
        <x:v>Weekday in Ordinary Time</x:v>
      </x:c>
      <x:c r="E203" s="41" t="str">
        <x:v>Weekday</x:v>
      </x:c>
      <x:c r="F203" s="42" t="str">
        <x:v>Saint Lawrence of Brindisi [Optional Memorial]</x:v>
      </x:c>
      <x:c r="G203" s="42" t="str">
        <x:v>✦ 🕯</x:v>
      </x:c>
      <x:c r="H203" s="42" t="str"/>
      <x:c r="I203" s="42" t="str"/>
      <x:c r="J203" s="42" t="str"/>
      <x:c r="K203" s="58" t="str">
        <x:v>🕯 Franciscan summer Lent — historical Franciscan practice</x:v>
      </x:c>
      <x:c r="L203" s="42" t="str"/>
      <x:c r="M203" s="42" t="str"/>
      <x:c r="N203" s="42" t="str">
        <x:v>https://www.usccb.org/resources/2026cal.pdf
https://www.franciscantradition.org/blog/the-five-lents-of-francis-vjkyuy/</x:v>
      </x:c>
      <x:c r="O203" s="115" t="e">
        <x:f>HYPERLINK("https://bible.usccb.org/bible/readings/072126.cfm","Open official USCCB readings ↗")</x:f>
        <x:v>HYPERLINK is not implemented. linkLocation=https://bible.usccb.org/bible/readings/072126.cfm, friendlyName=Open official USCCB readings ↗</x:v>
      </x:c>
    </x:row>
    <x:row r="204">
      <x:c r="A204" s="40" t="n">
        <x:v>46225</x:v>
      </x:c>
      <x:c r="B204" s="41" t="str">
        <x:v>Wednesday</x:v>
      </x:c>
      <x:c r="C204" s="60" t="str">
        <x:v>Ordinary Time</x:v>
      </x:c>
      <x:c r="D204" s="41" t="str">
        <x:v>Saint Mary Magdalene</x:v>
      </x:c>
      <x:c r="E204" s="41" t="str">
        <x:v>Feast</x:v>
      </x:c>
      <x:c r="F204" s="42" t="str">
        <x:v>Saint Mary Magdalene [Feast]</x:v>
      </x:c>
      <x:c r="G204" s="42" t="str">
        <x:v>★ ✦ 🕯</x:v>
      </x:c>
      <x:c r="H204" s="42" t="str"/>
      <x:c r="I204" s="42" t="str"/>
      <x:c r="J204" s="42" t="str"/>
      <x:c r="K204" s="58" t="str">
        <x:v>🕯 Franciscan summer Lent — historical Franciscan practice</x:v>
      </x:c>
      <x:c r="L204" s="42" t="str"/>
      <x:c r="M204" s="42" t="str"/>
      <x:c r="N204" s="42" t="str">
        <x:v>https://www.usccb.org/resources/2026cal.pdf
https://www.franciscantradition.org/blog/the-five-lents-of-francis-vjkyuy/</x:v>
      </x:c>
      <x:c r="O204" s="115" t="e">
        <x:f>HYPERLINK("https://bible.usccb.org/bible/readings/072226.cfm","Open official USCCB readings ↗")</x:f>
        <x:v>HYPERLINK is not implemented. linkLocation=https://bible.usccb.org/bible/readings/072226.cfm, friendlyName=Open official USCCB readings ↗</x:v>
      </x:c>
    </x:row>
    <x:row r="205">
      <x:c r="A205" s="40" t="n">
        <x:v>46226</x:v>
      </x:c>
      <x:c r="B205" s="41" t="str">
        <x:v>Thursday</x:v>
      </x:c>
      <x:c r="C205" s="60" t="str">
        <x:v>Ordinary Time</x:v>
      </x:c>
      <x:c r="D205" s="41" t="str">
        <x:v>Weekday in Ordinary Time</x:v>
      </x:c>
      <x:c r="E205" s="41" t="str">
        <x:v>Weekday</x:v>
      </x:c>
      <x:c r="F205" s="42" t="str">
        <x:v>Saint Bridget [Optional Memorial]</x:v>
      </x:c>
      <x:c r="G205" s="42" t="str">
        <x:v>✦ 🕯</x:v>
      </x:c>
      <x:c r="H205" s="42" t="str"/>
      <x:c r="I205" s="42" t="str"/>
      <x:c r="J205" s="42" t="str"/>
      <x:c r="K205" s="58" t="str">
        <x:v>🕯 Franciscan summer Lent — historical Franciscan practice</x:v>
      </x:c>
      <x:c r="L205" s="42" t="str"/>
      <x:c r="M205" s="42" t="str"/>
      <x:c r="N205" s="42" t="str">
        <x:v>https://www.usccb.org/resources/2026cal.pdf
https://www.franciscantradition.org/blog/the-five-lents-of-francis-vjkyuy/</x:v>
      </x:c>
      <x:c r="O205" s="115" t="e">
        <x:f>HYPERLINK("https://bible.usccb.org/bible/readings/072326.cfm","Open official USCCB readings ↗")</x:f>
        <x:v>HYPERLINK is not implemented. linkLocation=https://bible.usccb.org/bible/readings/072326.cfm, friendlyName=Open official USCCB readings ↗</x:v>
      </x:c>
    </x:row>
    <x:row r="206">
      <x:c r="A206" s="40" t="n">
        <x:v>46227</x:v>
      </x:c>
      <x:c r="B206" s="41" t="str">
        <x:v>Friday</x:v>
      </x:c>
      <x:c r="C206" s="60" t="str">
        <x:v>Ordinary Time</x:v>
      </x:c>
      <x:c r="D206" s="41" t="str">
        <x:v>Weekday in Ordinary Time</x:v>
      </x:c>
      <x:c r="E206" s="41" t="str">
        <x:v>Weekday</x:v>
      </x:c>
      <x:c r="F206" s="42" t="str">
        <x:v>Saint Sharbel Makhlūf [Optional Memorial]</x:v>
      </x:c>
      <x:c r="G206" s="42" t="str">
        <x:v>✦ Ⓟ 🕯</x:v>
      </x:c>
      <x:c r="H206" s="42" t="str"/>
      <x:c r="I206" s="42" t="str"/>
      <x:c r="J206" s="56" t="str">
        <x:v>Friday penance — outside Lent, U.S. Catholics may choose an appropriate penitential practice</x:v>
      </x:c>
      <x:c r="K206" s="58" t="str">
        <x:v>🕯 Franciscan summer Lent — historical Franciscan practice</x:v>
      </x:c>
      <x:c r="L206" s="42" t="str"/>
      <x:c r="M206" s="42" t="str"/>
      <x:c r="N206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206" s="115" t="e">
        <x:f>HYPERLINK("https://bible.usccb.org/bible/readings/072426.cfm","Open official USCCB readings ↗")</x:f>
        <x:v>HYPERLINK is not implemented. linkLocation=https://bible.usccb.org/bible/readings/072426.cfm, friendlyName=Open official USCCB readings ↗</x:v>
      </x:c>
    </x:row>
    <x:row r="207">
      <x:c r="A207" s="40" t="n">
        <x:v>46228</x:v>
      </x:c>
      <x:c r="B207" s="41" t="str">
        <x:v>Saturday</x:v>
      </x:c>
      <x:c r="C207" s="60" t="str">
        <x:v>Ordinary Time</x:v>
      </x:c>
      <x:c r="D207" s="41" t="str">
        <x:v>Saint James, Apostle</x:v>
      </x:c>
      <x:c r="E207" s="41" t="str">
        <x:v>Feast</x:v>
      </x:c>
      <x:c r="F207" s="42" t="str">
        <x:v>Saint James, Apostle [Feast]</x:v>
      </x:c>
      <x:c r="G207" s="42" t="str">
        <x:v>★ ✦ 🕯</x:v>
      </x:c>
      <x:c r="H207" s="42" t="str"/>
      <x:c r="I207" s="42" t="str"/>
      <x:c r="J207" s="42" t="str"/>
      <x:c r="K207" s="58" t="str">
        <x:v>🕯 Franciscan summer Lent — historical Franciscan practice</x:v>
      </x:c>
      <x:c r="L207" s="42" t="str">
        <x:v>Popular tradition: Saint Christopher</x:v>
      </x:c>
      <x:c r="M207" s="42" t="str"/>
      <x:c r="N207" s="42" t="str">
        <x:v>https://www.usccb.org/resources/2026cal.pdf
https://www.franciscantradition.org/blog/the-five-lents-of-francis-vjkyuy/</x:v>
      </x:c>
      <x:c r="O207" s="115" t="e">
        <x:f>HYPERLINK("https://bible.usccb.org/bible/readings/072526.cfm","Open official USCCB readings ↗")</x:f>
        <x:v>HYPERLINK is not implemented. linkLocation=https://bible.usccb.org/bible/readings/072526.cfm, friendlyName=Open official USCCB readings ↗</x:v>
      </x:c>
    </x:row>
    <x:row r="208">
      <x:c r="A208" s="40" t="n">
        <x:v>46229</x:v>
      </x:c>
      <x:c r="B208" s="41" t="str">
        <x:v>Sunday</x:v>
      </x:c>
      <x:c r="C208" s="60" t="str">
        <x:v>Ordinary Time</x:v>
      </x:c>
      <x:c r="D208" s="41" t="str">
        <x:v>Seventeenth Sunday in Ordinary Time</x:v>
      </x:c>
      <x:c r="E208" s="41" t="str">
        <x:v>Sunday</x:v>
      </x:c>
      <x:c r="F208" s="48" t="str">
        <x:v>Saints Joachim and Anne [Memorial]</x:v>
      </x:c>
      <x:c r="G208" s="42" t="str">
        <x:v>✦ 🌹 ⛪ 🕯</x:v>
      </x:c>
      <x:c r="H208" s="52" t="str">
        <x:v>⛪ Sunday Mass obligation</x:v>
      </x:c>
      <x:c r="I208" s="42" t="str"/>
      <x:c r="J208" s="42" t="str"/>
      <x:c r="K208" s="58" t="str">
        <x:v>🕯 Franciscan summer Lent — historical Franciscan practice</x:v>
      </x:c>
      <x:c r="L208" s="42" t="str"/>
      <x:c r="M208" s="42" t="str">
        <x:v>A fixed observance also falls today, but the Sunday or higher-ranking celebration takes liturgical precedence.</x:v>
      </x:c>
      <x:c r="N208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208" s="115" t="e">
        <x:f>HYPERLINK("https://bible.usccb.org/bible/readings/072626.cfm","Open official USCCB readings ↗")</x:f>
        <x:v>HYPERLINK is not implemented. linkLocation=https://bible.usccb.org/bible/readings/072626.cfm, friendlyName=Open official USCCB readings ↗</x:v>
      </x:c>
    </x:row>
    <x:row r="209">
      <x:c r="A209" s="40" t="n">
        <x:v>46230</x:v>
      </x:c>
      <x:c r="B209" s="41" t="str">
        <x:v>Monday</x:v>
      </x:c>
      <x:c r="C209" s="60" t="str">
        <x:v>Ordinary Time</x:v>
      </x:c>
      <x:c r="D209" s="41" t="str">
        <x:v>Weekday in Ordinary Time</x:v>
      </x:c>
      <x:c r="E209" s="41" t="str">
        <x:v>Weekday</x:v>
      </x:c>
      <x:c r="F209" s="42" t="str"/>
      <x:c r="G209" s="42" t="str">
        <x:v>🕯</x:v>
      </x:c>
      <x:c r="H209" s="42" t="str"/>
      <x:c r="I209" s="42" t="str"/>
      <x:c r="J209" s="42" t="str"/>
      <x:c r="K209" s="58" t="str">
        <x:v>🕯 Franciscan summer Lent — historical Franciscan practice</x:v>
      </x:c>
      <x:c r="L209" s="42" t="str"/>
      <x:c r="M209" s="42" t="str"/>
      <x:c r="N209" s="42" t="str">
        <x:v>https://www.usccb.org/resources/2026cal.pdf
https://www.franciscantradition.org/blog/the-five-lents-of-francis-vjkyuy/</x:v>
      </x:c>
      <x:c r="O209" s="115" t="e">
        <x:f>HYPERLINK("https://bible.usccb.org/bible/readings/072726.cfm","Open official USCCB readings ↗")</x:f>
        <x:v>HYPERLINK is not implemented. linkLocation=https://bible.usccb.org/bible/readings/072726.cfm, friendlyName=Open official USCCB readings ↗</x:v>
      </x:c>
    </x:row>
    <x:row r="210">
      <x:c r="A210" s="40" t="n">
        <x:v>46231</x:v>
      </x:c>
      <x:c r="B210" s="41" t="str">
        <x:v>Tuesday</x:v>
      </x:c>
      <x:c r="C210" s="60" t="str">
        <x:v>Ordinary Time</x:v>
      </x:c>
      <x:c r="D210" s="41" t="str">
        <x:v>Weekday in Ordinary Time</x:v>
      </x:c>
      <x:c r="E210" s="41" t="str">
        <x:v>Weekday</x:v>
      </x:c>
      <x:c r="F210" s="42" t="str"/>
      <x:c r="G210" s="42" t="str">
        <x:v>🕯</x:v>
      </x:c>
      <x:c r="H210" s="42" t="str"/>
      <x:c r="I210" s="42" t="str"/>
      <x:c r="J210" s="42" t="str"/>
      <x:c r="K210" s="58" t="str">
        <x:v>🕯 Franciscan summer Lent — historical Franciscan practice</x:v>
      </x:c>
      <x:c r="L210" s="42" t="str"/>
      <x:c r="M210" s="42" t="str"/>
      <x:c r="N210" s="42" t="str">
        <x:v>https://www.usccb.org/resources/2026cal.pdf
https://www.franciscantradition.org/blog/the-five-lents-of-francis-vjkyuy/</x:v>
      </x:c>
      <x:c r="O210" s="115" t="e">
        <x:f>HYPERLINK("https://bible.usccb.org/bible/readings/072826.cfm","Open official USCCB readings ↗")</x:f>
        <x:v>HYPERLINK is not implemented. linkLocation=https://bible.usccb.org/bible/readings/072826.cfm, friendlyName=Open official USCCB readings ↗</x:v>
      </x:c>
    </x:row>
    <x:row r="211">
      <x:c r="A211" s="40" t="n">
        <x:v>46232</x:v>
      </x:c>
      <x:c r="B211" s="41" t="str">
        <x:v>Wednesday</x:v>
      </x:c>
      <x:c r="C211" s="60" t="str">
        <x:v>Ordinary Time</x:v>
      </x:c>
      <x:c r="D211" s="41" t="str">
        <x:v>Saints Martha, Mary and Lazarus</x:v>
      </x:c>
      <x:c r="E211" s="41" t="str">
        <x:v>Memorial</x:v>
      </x:c>
      <x:c r="F211" s="42" t="str">
        <x:v>Saints Martha, Mary and Lazarus [Memorial]</x:v>
      </x:c>
      <x:c r="G211" s="42" t="str">
        <x:v>✦ 🕯</x:v>
      </x:c>
      <x:c r="H211" s="42" t="str"/>
      <x:c r="I211" s="42" t="str"/>
      <x:c r="J211" s="42" t="str"/>
      <x:c r="K211" s="58" t="str">
        <x:v>🕯 Franciscan summer Lent — historical Franciscan practice</x:v>
      </x:c>
      <x:c r="L211" s="42" t="str"/>
      <x:c r="M211" s="42" t="str"/>
      <x:c r="N211" s="42" t="str">
        <x:v>https://www.usccb.org/resources/2026cal.pdf
https://www.franciscantradition.org/blog/the-five-lents-of-francis-vjkyuy/</x:v>
      </x:c>
      <x:c r="O211" s="115" t="e">
        <x:f>HYPERLINK("https://bible.usccb.org/bible/readings/072926.cfm","Open official USCCB readings ↗")</x:f>
        <x:v>HYPERLINK is not implemented. linkLocation=https://bible.usccb.org/bible/readings/072926.cfm, friendlyName=Open official USCCB readings ↗</x:v>
      </x:c>
    </x:row>
    <x:row r="212">
      <x:c r="A212" s="40" t="n">
        <x:v>46233</x:v>
      </x:c>
      <x:c r="B212" s="41" t="str">
        <x:v>Thursday</x:v>
      </x:c>
      <x:c r="C212" s="60" t="str">
        <x:v>Ordinary Time</x:v>
      </x:c>
      <x:c r="D212" s="41" t="str">
        <x:v>Weekday in Ordinary Time</x:v>
      </x:c>
      <x:c r="E212" s="41" t="str">
        <x:v>Weekday</x:v>
      </x:c>
      <x:c r="F212" s="42" t="str">
        <x:v>Saint Peter Chrysologus [Optional Memorial]</x:v>
      </x:c>
      <x:c r="G212" s="42" t="str">
        <x:v>✦ 🕯</x:v>
      </x:c>
      <x:c r="H212" s="42" t="str"/>
      <x:c r="I212" s="42" t="str"/>
      <x:c r="J212" s="42" t="str"/>
      <x:c r="K212" s="58" t="str">
        <x:v>🕯 Franciscan summer Lent — historical Franciscan practice</x:v>
      </x:c>
      <x:c r="L212" s="42" t="str"/>
      <x:c r="M212" s="42" t="str"/>
      <x:c r="N212" s="42" t="str">
        <x:v>https://www.usccb.org/resources/2026cal.pdf
https://www.franciscantradition.org/blog/the-five-lents-of-francis-vjkyuy/</x:v>
      </x:c>
      <x:c r="O212" s="115" t="e">
        <x:f>HYPERLINK("https://bible.usccb.org/bible/readings/073026.cfm","Open official USCCB readings ↗")</x:f>
        <x:v>HYPERLINK is not implemented. linkLocation=https://bible.usccb.org/bible/readings/073026.cfm, friendlyName=Open official USCCB readings ↗</x:v>
      </x:c>
    </x:row>
    <x:row r="213">
      <x:c r="A213" s="40" t="n">
        <x:v>46234</x:v>
      </x:c>
      <x:c r="B213" s="41" t="str">
        <x:v>Friday</x:v>
      </x:c>
      <x:c r="C213" s="60" t="str">
        <x:v>Ordinary Time</x:v>
      </x:c>
      <x:c r="D213" s="41" t="str">
        <x:v>Saint Ignatius of Loyola</x:v>
      </x:c>
      <x:c r="E213" s="41" t="str">
        <x:v>Memorial</x:v>
      </x:c>
      <x:c r="F213" s="42" t="str">
        <x:v>Saint Ignatius of Loyola [Memorial]</x:v>
      </x:c>
      <x:c r="G213" s="42" t="str">
        <x:v>✦ Ⓟ 🕯</x:v>
      </x:c>
      <x:c r="H213" s="42" t="str"/>
      <x:c r="I213" s="42" t="str"/>
      <x:c r="J213" s="56" t="str">
        <x:v>Friday penance — outside Lent, U.S. Catholics may choose an appropriate penitential practice</x:v>
      </x:c>
      <x:c r="K213" s="58" t="str">
        <x:v>🕯 Franciscan summer Lent — historical Franciscan practice</x:v>
      </x:c>
      <x:c r="L213" s="42" t="str"/>
      <x:c r="M213" s="42" t="str"/>
      <x:c r="N213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213" s="115" t="e">
        <x:f>HYPERLINK("https://bible.usccb.org/bible/readings/073126.cfm","Open official USCCB readings ↗")</x:f>
        <x:v>HYPERLINK is not implemented. linkLocation=https://bible.usccb.org/bible/readings/073126.cfm, friendlyName=Open official USCCB readings ↗</x:v>
      </x:c>
    </x:row>
    <x:row r="214">
      <x:c r="A214" s="40" t="n">
        <x:v>46235</x:v>
      </x:c>
      <x:c r="B214" s="41" t="str">
        <x:v>Saturday</x:v>
      </x:c>
      <x:c r="C214" s="60" t="str">
        <x:v>Ordinary Time</x:v>
      </x:c>
      <x:c r="D214" s="41" t="str">
        <x:v>Saint Alphonsus Liguori</x:v>
      </x:c>
      <x:c r="E214" s="41" t="str">
        <x:v>Memorial</x:v>
      </x:c>
      <x:c r="F214" s="48" t="str">
        <x:v>Saint Alphonsus Liguori [Memorial]</x:v>
      </x:c>
      <x:c r="G214" s="42" t="str">
        <x:v>✦ 🙏 🌹 🕯</x:v>
      </x:c>
      <x:c r="H214" s="42" t="str"/>
      <x:c r="I214" s="54" t="str">
        <x:v>🌹 First Saturday — Immaculate Heart devotion</x:v>
      </x:c>
      <x:c r="J214" s="42" t="str"/>
      <x:c r="K214" s="58" t="str">
        <x:v>🕯 Franciscan summer Lent — historical Franciscan practice</x:v>
      </x:c>
      <x:c r="L214" s="42" t="str"/>
      <x:c r="M214" s="42" t="str"/>
      <x:c r="N214" s="42" t="str">
        <x:v>https://www.usccb.org/resources/2026cal.pdf
https://www.ewtn.com/catholicism/library/revelation-of-the-immaculate-heart-at-fatima-in-1917-5465
https://www.franciscantradition.org/blog/the-five-lents-of-francis-vjkyuy/</x:v>
      </x:c>
      <x:c r="O214" s="115" t="e">
        <x:f>HYPERLINK("https://bible.usccb.org/bible/readings/080126.cfm","Open official USCCB readings ↗")</x:f>
        <x:v>HYPERLINK is not implemented. linkLocation=https://bible.usccb.org/bible/readings/080126.cfm, friendlyName=Open official USCCB readings ↗</x:v>
      </x:c>
    </x:row>
    <x:row r="215">
      <x:c r="A215" s="40" t="n">
        <x:v>46236</x:v>
      </x:c>
      <x:c r="B215" s="41" t="str">
        <x:v>Sunday</x:v>
      </x:c>
      <x:c r="C215" s="60" t="str">
        <x:v>Ordinary Time</x:v>
      </x:c>
      <x:c r="D215" s="41" t="str">
        <x:v>Eighteenth Sunday in Ordinary Time</x:v>
      </x:c>
      <x:c r="E215" s="41" t="str">
        <x:v>Sunday</x:v>
      </x:c>
      <x:c r="F215" s="42" t="str">
        <x:v>Saint Eusebius of Vercelli; Saint Peter Julian Eymard [Optional Memorial]</x:v>
      </x:c>
      <x:c r="G215" s="42" t="str">
        <x:v>✦ ⛪ 🕯</x:v>
      </x:c>
      <x:c r="H215" s="52" t="str">
        <x:v>⛪ Sunday Mass obligation</x:v>
      </x:c>
      <x:c r="I215" s="42" t="str"/>
      <x:c r="J215" s="42" t="str"/>
      <x:c r="K215" s="58" t="str">
        <x:v>🕯 Franciscan summer Lent — historical Franciscan practice</x:v>
      </x:c>
      <x:c r="L215" s="42" t="str"/>
      <x:c r="M215" s="42" t="str">
        <x:v>A fixed observance also falls today, but the Sunday or higher-ranking celebration takes liturgical precedence.</x:v>
      </x:c>
      <x:c r="N215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215" s="115" t="e">
        <x:f>HYPERLINK("https://bible.usccb.org/bible/readings/080226.cfm","Open official USCCB readings ↗")</x:f>
        <x:v>HYPERLINK is not implemented. linkLocation=https://bible.usccb.org/bible/readings/080226.cfm, friendlyName=Open official USCCB readings ↗</x:v>
      </x:c>
    </x:row>
    <x:row r="216">
      <x:c r="A216" s="40" t="n">
        <x:v>46237</x:v>
      </x:c>
      <x:c r="B216" s="41" t="str">
        <x:v>Monday</x:v>
      </x:c>
      <x:c r="C216" s="60" t="str">
        <x:v>Ordinary Time</x:v>
      </x:c>
      <x:c r="D216" s="41" t="str">
        <x:v>Weekday in Ordinary Time</x:v>
      </x:c>
      <x:c r="E216" s="41" t="str">
        <x:v>Weekday</x:v>
      </x:c>
      <x:c r="F216" s="42" t="str"/>
      <x:c r="G216" s="42" t="str">
        <x:v>🕯</x:v>
      </x:c>
      <x:c r="H216" s="42" t="str"/>
      <x:c r="I216" s="42" t="str"/>
      <x:c r="J216" s="42" t="str"/>
      <x:c r="K216" s="58" t="str">
        <x:v>🕯 Franciscan summer Lent — historical Franciscan practice</x:v>
      </x:c>
      <x:c r="L216" s="42" t="str"/>
      <x:c r="M216" s="42" t="str"/>
      <x:c r="N216" s="42" t="str">
        <x:v>https://www.usccb.org/resources/2026cal.pdf
https://www.franciscantradition.org/blog/the-five-lents-of-francis-vjkyuy/</x:v>
      </x:c>
      <x:c r="O216" s="115" t="e">
        <x:f>HYPERLINK("https://bible.usccb.org/bible/readings/080326.cfm","Open official USCCB readings ↗")</x:f>
        <x:v>HYPERLINK is not implemented. linkLocation=https://bible.usccb.org/bible/readings/080326.cfm, friendlyName=Open official USCCB readings ↗</x:v>
      </x:c>
    </x:row>
    <x:row r="217">
      <x:c r="A217" s="40" t="n">
        <x:v>46238</x:v>
      </x:c>
      <x:c r="B217" s="41" t="str">
        <x:v>Tuesday</x:v>
      </x:c>
      <x:c r="C217" s="60" t="str">
        <x:v>Ordinary Time</x:v>
      </x:c>
      <x:c r="D217" s="41" t="str">
        <x:v>Saint John Vianney</x:v>
      </x:c>
      <x:c r="E217" s="41" t="str">
        <x:v>Memorial</x:v>
      </x:c>
      <x:c r="F217" s="42" t="str">
        <x:v>Saint John Vianney [Memorial]</x:v>
      </x:c>
      <x:c r="G217" s="42" t="str">
        <x:v>✦ 🕯</x:v>
      </x:c>
      <x:c r="H217" s="42" t="str"/>
      <x:c r="I217" s="42" t="str"/>
      <x:c r="J217" s="42" t="str"/>
      <x:c r="K217" s="58" t="str">
        <x:v>🕯 Franciscan summer Lent — historical Franciscan practice</x:v>
      </x:c>
      <x:c r="L217" s="42" t="str"/>
      <x:c r="M217" s="42" t="str"/>
      <x:c r="N217" s="42" t="str">
        <x:v>https://www.usccb.org/resources/2026cal.pdf
https://www.franciscantradition.org/blog/the-five-lents-of-francis-vjkyuy/</x:v>
      </x:c>
      <x:c r="O217" s="115" t="e">
        <x:f>HYPERLINK("https://bible.usccb.org/bible/readings/080426.cfm","Open official USCCB readings ↗")</x:f>
        <x:v>HYPERLINK is not implemented. linkLocation=https://bible.usccb.org/bible/readings/080426.cfm, friendlyName=Open official USCCB readings ↗</x:v>
      </x:c>
    </x:row>
    <x:row r="218">
      <x:c r="A218" s="40" t="n">
        <x:v>46239</x:v>
      </x:c>
      <x:c r="B218" s="41" t="str">
        <x:v>Wednesday</x:v>
      </x:c>
      <x:c r="C218" s="60" t="str">
        <x:v>Ordinary Time</x:v>
      </x:c>
      <x:c r="D218" s="41" t="str">
        <x:v>Weekday in Ordinary Time</x:v>
      </x:c>
      <x:c r="E218" s="41" t="str">
        <x:v>Weekday</x:v>
      </x:c>
      <x:c r="F218" s="48" t="str">
        <x:v>Dedication of the Basilica of Saint Mary Major [Optional Memorial]</x:v>
      </x:c>
      <x:c r="G218" s="42" t="str">
        <x:v>🌹 🕯</x:v>
      </x:c>
      <x:c r="H218" s="42" t="str"/>
      <x:c r="I218" s="42" t="str"/>
      <x:c r="J218" s="42" t="str"/>
      <x:c r="K218" s="58" t="str">
        <x:v>🕯 Franciscan summer Lent — historical Franciscan practice</x:v>
      </x:c>
      <x:c r="L218" s="42" t="str"/>
      <x:c r="M218" s="42" t="str"/>
      <x:c r="N218" s="42" t="str">
        <x:v>https://www.usccb.org/resources/2026cal.pdf
https://www.franciscantradition.org/blog/the-five-lents-of-francis-vjkyuy/</x:v>
      </x:c>
      <x:c r="O218" s="115" t="e">
        <x:f>HYPERLINK("https://bible.usccb.org/bible/readings/080526.cfm","Open official USCCB readings ↗")</x:f>
        <x:v>HYPERLINK is not implemented. linkLocation=https://bible.usccb.org/bible/readings/080526.cfm, friendlyName=Open official USCCB readings ↗</x:v>
      </x:c>
    </x:row>
    <x:row r="219">
      <x:c r="A219" s="40" t="n">
        <x:v>46240</x:v>
      </x:c>
      <x:c r="B219" s="41" t="str">
        <x:v>Thursday</x:v>
      </x:c>
      <x:c r="C219" s="60" t="str">
        <x:v>Ordinary Time</x:v>
      </x:c>
      <x:c r="D219" s="41" t="str">
        <x:v>Transfiguration of the Lord</x:v>
      </x:c>
      <x:c r="E219" s="41" t="str">
        <x:v>Feast</x:v>
      </x:c>
      <x:c r="F219" s="42" t="str">
        <x:v>Transfiguration of the Lord [Feast]</x:v>
      </x:c>
      <x:c r="G219" s="42" t="str">
        <x:v>★ ✝ 🕯</x:v>
      </x:c>
      <x:c r="H219" s="42" t="str"/>
      <x:c r="I219" s="42" t="str"/>
      <x:c r="J219" s="42" t="str"/>
      <x:c r="K219" s="58" t="str">
        <x:v>🕯 Franciscan summer Lent — historical Franciscan practice</x:v>
      </x:c>
      <x:c r="L219" s="42" t="str"/>
      <x:c r="M219" s="42" t="str"/>
      <x:c r="N219" s="42" t="str">
        <x:v>https://www.usccb.org/resources/2026cal.pdf
https://www.franciscantradition.org/blog/the-five-lents-of-francis-vjkyuy/</x:v>
      </x:c>
      <x:c r="O219" s="115" t="e">
        <x:f>HYPERLINK("https://bible.usccb.org/bible/readings/080626.cfm","Open official USCCB readings ↗")</x:f>
        <x:v>HYPERLINK is not implemented. linkLocation=https://bible.usccb.org/bible/readings/080626.cfm, friendlyName=Open official USCCB readings ↗</x:v>
      </x:c>
    </x:row>
    <x:row r="220">
      <x:c r="A220" s="40" t="n">
        <x:v>46241</x:v>
      </x:c>
      <x:c r="B220" s="41" t="str">
        <x:v>Friday</x:v>
      </x:c>
      <x:c r="C220" s="60" t="str">
        <x:v>Ordinary Time</x:v>
      </x:c>
      <x:c r="D220" s="41" t="str">
        <x:v>Weekday in Ordinary Time</x:v>
      </x:c>
      <x:c r="E220" s="41" t="str">
        <x:v>Weekday</x:v>
      </x:c>
      <x:c r="F220" s="42" t="str">
        <x:v>Saint Sixtus II and Companions; Saint Cajetan [Optional Memorial]</x:v>
      </x:c>
      <x:c r="G220" s="42" t="str">
        <x:v>✦ 🙏 Ⓟ 🕯</x:v>
      </x:c>
      <x:c r="H220" s="42" t="str"/>
      <x:c r="I220" s="54" t="str">
        <x:v>❤ First Friday — Sacred Heart devotion</x:v>
      </x:c>
      <x:c r="J220" s="56" t="str">
        <x:v>Friday penance — outside Lent, U.S. Catholics may choose an appropriate penitential practice</x:v>
      </x:c>
      <x:c r="K220" s="58" t="str">
        <x:v>🕯 Franciscan summer Lent — historical Franciscan practice</x:v>
      </x:c>
      <x:c r="L220" s="42" t="str"/>
      <x:c r="M220" s="42" t="str"/>
      <x:c r="N220" s="42" t="str">
        <x:v>https://www.usccb.org/resources/2026cal.pdf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220" s="115" t="e">
        <x:f>HYPERLINK("https://bible.usccb.org/bible/readings/080726.cfm","Open official USCCB readings ↗")</x:f>
        <x:v>HYPERLINK is not implemented. linkLocation=https://bible.usccb.org/bible/readings/080726.cfm, friendlyName=Open official USCCB readings ↗</x:v>
      </x:c>
    </x:row>
    <x:row r="221">
      <x:c r="A221" s="40" t="n">
        <x:v>46242</x:v>
      </x:c>
      <x:c r="B221" s="41" t="str">
        <x:v>Saturday</x:v>
      </x:c>
      <x:c r="C221" s="60" t="str">
        <x:v>Ordinary Time</x:v>
      </x:c>
      <x:c r="D221" s="41" t="str">
        <x:v>Saint Dominic</x:v>
      </x:c>
      <x:c r="E221" s="41" t="str">
        <x:v>Memorial</x:v>
      </x:c>
      <x:c r="F221" s="42" t="str">
        <x:v>Saint Dominic [Memorial]</x:v>
      </x:c>
      <x:c r="G221" s="42" t="str">
        <x:v>✦ 🕯</x:v>
      </x:c>
      <x:c r="H221" s="42" t="str"/>
      <x:c r="I221" s="42" t="str"/>
      <x:c r="J221" s="42" t="str"/>
      <x:c r="K221" s="58" t="str">
        <x:v>🕯 Franciscan summer Lent — historical Franciscan practice</x:v>
      </x:c>
      <x:c r="L221" s="42" t="str"/>
      <x:c r="M221" s="42" t="str"/>
      <x:c r="N221" s="42" t="str">
        <x:v>https://www.usccb.org/resources/2026cal.pdf
https://www.franciscantradition.org/blog/the-five-lents-of-francis-vjkyuy/</x:v>
      </x:c>
      <x:c r="O221" s="115" t="e">
        <x:f>HYPERLINK("https://bible.usccb.org/bible/readings/080826.cfm","Open official USCCB readings ↗")</x:f>
        <x:v>HYPERLINK is not implemented. linkLocation=https://bible.usccb.org/bible/readings/080826.cfm, friendlyName=Open official USCCB readings ↗</x:v>
      </x:c>
    </x:row>
    <x:row r="222">
      <x:c r="A222" s="40" t="n">
        <x:v>46243</x:v>
      </x:c>
      <x:c r="B222" s="41" t="str">
        <x:v>Sunday</x:v>
      </x:c>
      <x:c r="C222" s="60" t="str">
        <x:v>Ordinary Time</x:v>
      </x:c>
      <x:c r="D222" s="41" t="str">
        <x:v>Nineteenth Sunday in Ordinary Time</x:v>
      </x:c>
      <x:c r="E222" s="41" t="str">
        <x:v>Sunday</x:v>
      </x:c>
      <x:c r="F222" s="42" t="str">
        <x:v>Saint Teresa Benedicta of the Cross [Optional Memorial]</x:v>
      </x:c>
      <x:c r="G222" s="42" t="str">
        <x:v>✦ ⛪ 🕯</x:v>
      </x:c>
      <x:c r="H222" s="52" t="str">
        <x:v>⛪ Sunday Mass obligation</x:v>
      </x:c>
      <x:c r="I222" s="42" t="str"/>
      <x:c r="J222" s="42" t="str"/>
      <x:c r="K222" s="58" t="str">
        <x:v>🕯 Franciscan summer Lent — historical Franciscan practice</x:v>
      </x:c>
      <x:c r="L222" s="42" t="str"/>
      <x:c r="M222" s="42" t="str">
        <x:v>A fixed observance also falls today, but the Sunday or higher-ranking celebration takes liturgical precedence.</x:v>
      </x:c>
      <x:c r="N222" s="42" t="str">
        <x:v>https://www.usccb.org/resources/2026cal.pdf
https://www.usccb.org/beliefs-and-teachings/what-we-believe/canon-law/complementary-norms/canon-1246
https://www.franciscantradition.org/blog/the-five-lents-of-francis-vjkyuy/</x:v>
      </x:c>
      <x:c r="O222" s="115" t="e">
        <x:f>HYPERLINK("https://bible.usccb.org/bible/readings/080926.cfm","Open official USCCB readings ↗")</x:f>
        <x:v>HYPERLINK is not implemented. linkLocation=https://bible.usccb.org/bible/readings/080926.cfm, friendlyName=Open official USCCB readings ↗</x:v>
      </x:c>
    </x:row>
    <x:row r="223">
      <x:c r="A223" s="40" t="n">
        <x:v>46244</x:v>
      </x:c>
      <x:c r="B223" s="41" t="str">
        <x:v>Monday</x:v>
      </x:c>
      <x:c r="C223" s="60" t="str">
        <x:v>Ordinary Time</x:v>
      </x:c>
      <x:c r="D223" s="41" t="str">
        <x:v>Saint Lawrence</x:v>
      </x:c>
      <x:c r="E223" s="41" t="str">
        <x:v>Feast</x:v>
      </x:c>
      <x:c r="F223" s="42" t="str">
        <x:v>Saint Lawrence [Feast]</x:v>
      </x:c>
      <x:c r="G223" s="42" t="str">
        <x:v>★ ✦ 🕯</x:v>
      </x:c>
      <x:c r="H223" s="42" t="str"/>
      <x:c r="I223" s="42" t="str"/>
      <x:c r="J223" s="42" t="str"/>
      <x:c r="K223" s="58" t="str">
        <x:v>🕯 Franciscan summer Lent — historical Franciscan practice</x:v>
      </x:c>
      <x:c r="L223" s="42" t="str"/>
      <x:c r="M223" s="42" t="str"/>
      <x:c r="N223" s="42" t="str">
        <x:v>https://www.usccb.org/resources/2026cal.pdf
https://www.franciscantradition.org/blog/the-five-lents-of-francis-vjkyuy/</x:v>
      </x:c>
      <x:c r="O223" s="115" t="e">
        <x:f>HYPERLINK("https://bible.usccb.org/bible/readings/081026.cfm","Open official USCCB readings ↗")</x:f>
        <x:v>HYPERLINK is not implemented. linkLocation=https://bible.usccb.org/bible/readings/081026.cfm, friendlyName=Open official USCCB readings ↗</x:v>
      </x:c>
    </x:row>
    <x:row r="224">
      <x:c r="A224" s="40" t="n">
        <x:v>46245</x:v>
      </x:c>
      <x:c r="B224" s="41" t="str">
        <x:v>Tuesday</x:v>
      </x:c>
      <x:c r="C224" s="60" t="str">
        <x:v>Ordinary Time</x:v>
      </x:c>
      <x:c r="D224" s="41" t="str">
        <x:v>Saint Clare</x:v>
      </x:c>
      <x:c r="E224" s="41" t="str">
        <x:v>Memorial</x:v>
      </x:c>
      <x:c r="F224" s="42" t="str">
        <x:v>Saint Clare [Memorial]</x:v>
      </x:c>
      <x:c r="G224" s="42" t="str">
        <x:v>✦ 🕯</x:v>
      </x:c>
      <x:c r="H224" s="42" t="str"/>
      <x:c r="I224" s="42" t="str"/>
      <x:c r="J224" s="42" t="str"/>
      <x:c r="K224" s="58" t="str">
        <x:v>🕯 Franciscan summer Lent — historical Franciscan practice</x:v>
      </x:c>
      <x:c r="L224" s="42" t="str"/>
      <x:c r="M224" s="42" t="str"/>
      <x:c r="N224" s="42" t="str">
        <x:v>https://www.usccb.org/resources/2026cal.pdf
https://www.franciscantradition.org/blog/the-five-lents-of-francis-vjkyuy/</x:v>
      </x:c>
      <x:c r="O224" s="115" t="e">
        <x:f>HYPERLINK("https://bible.usccb.org/bible/readings/081126.cfm","Open official USCCB readings ↗")</x:f>
        <x:v>HYPERLINK is not implemented. linkLocation=https://bible.usccb.org/bible/readings/081126.cfm, friendlyName=Open official USCCB readings ↗</x:v>
      </x:c>
    </x:row>
    <x:row r="225">
      <x:c r="A225" s="40" t="n">
        <x:v>46246</x:v>
      </x:c>
      <x:c r="B225" s="41" t="str">
        <x:v>Wednesday</x:v>
      </x:c>
      <x:c r="C225" s="60" t="str">
        <x:v>Ordinary Time</x:v>
      </x:c>
      <x:c r="D225" s="41" t="str">
        <x:v>Weekday in Ordinary Time</x:v>
      </x:c>
      <x:c r="E225" s="41" t="str">
        <x:v>Weekday</x:v>
      </x:c>
      <x:c r="F225" s="42" t="str">
        <x:v>Saint Jane Frances de Chantal [Optional Memorial]</x:v>
      </x:c>
      <x:c r="G225" s="42" t="str">
        <x:v>✦ 🕯</x:v>
      </x:c>
      <x:c r="H225" s="42" t="str"/>
      <x:c r="I225" s="42" t="str"/>
      <x:c r="J225" s="42" t="str"/>
      <x:c r="K225" s="58" t="str">
        <x:v>🕯 Franciscan summer Lent — historical Franciscan practice</x:v>
      </x:c>
      <x:c r="L225" s="42" t="str"/>
      <x:c r="M225" s="42" t="str"/>
      <x:c r="N225" s="42" t="str">
        <x:v>https://www.usccb.org/resources/2026cal.pdf
https://www.franciscantradition.org/blog/the-five-lents-of-francis-vjkyuy/</x:v>
      </x:c>
      <x:c r="O225" s="115" t="e">
        <x:f>HYPERLINK("https://bible.usccb.org/bible/readings/081226.cfm","Open official USCCB readings ↗")</x:f>
        <x:v>HYPERLINK is not implemented. linkLocation=https://bible.usccb.org/bible/readings/081226.cfm, friendlyName=Open official USCCB readings ↗</x:v>
      </x:c>
    </x:row>
    <x:row r="226">
      <x:c r="A226" s="40" t="n">
        <x:v>46247</x:v>
      </x:c>
      <x:c r="B226" s="41" t="str">
        <x:v>Thursday</x:v>
      </x:c>
      <x:c r="C226" s="60" t="str">
        <x:v>Ordinary Time</x:v>
      </x:c>
      <x:c r="D226" s="41" t="str">
        <x:v>Weekday in Ordinary Time</x:v>
      </x:c>
      <x:c r="E226" s="41" t="str">
        <x:v>Weekday</x:v>
      </x:c>
      <x:c r="F226" s="42" t="str">
        <x:v>Saints Pontian and Hippolytus [Optional Memorial]</x:v>
      </x:c>
      <x:c r="G226" s="42" t="str">
        <x:v>✦ 🕯</x:v>
      </x:c>
      <x:c r="H226" s="42" t="str"/>
      <x:c r="I226" s="42" t="str"/>
      <x:c r="J226" s="42" t="str"/>
      <x:c r="K226" s="58" t="str">
        <x:v>🕯 Franciscan summer Lent — historical Franciscan practice</x:v>
      </x:c>
      <x:c r="L226" s="42" t="str"/>
      <x:c r="M226" s="42" t="str"/>
      <x:c r="N226" s="42" t="str">
        <x:v>https://www.usccb.org/resources/2026cal.pdf
https://www.franciscantradition.org/blog/the-five-lents-of-francis-vjkyuy/</x:v>
      </x:c>
      <x:c r="O226" s="115" t="e">
        <x:f>HYPERLINK("https://bible.usccb.org/bible/readings/081326.cfm","Open official USCCB readings ↗")</x:f>
        <x:v>HYPERLINK is not implemented. linkLocation=https://bible.usccb.org/bible/readings/081326.cfm, friendlyName=Open official USCCB readings ↗</x:v>
      </x:c>
    </x:row>
    <x:row r="227">
      <x:c r="A227" s="40" t="n">
        <x:v>46248</x:v>
      </x:c>
      <x:c r="B227" s="41" t="str">
        <x:v>Friday</x:v>
      </x:c>
      <x:c r="C227" s="60" t="str">
        <x:v>Ordinary Time</x:v>
      </x:c>
      <x:c r="D227" s="41" t="str">
        <x:v>Saint Maximilian Kolbe</x:v>
      </x:c>
      <x:c r="E227" s="41" t="str">
        <x:v>Memorial</x:v>
      </x:c>
      <x:c r="F227" s="42" t="str">
        <x:v>Saint Maximilian Kolbe [Memorial]</x:v>
      </x:c>
      <x:c r="G227" s="42" t="str">
        <x:v>✦ Ⓟ 🕯</x:v>
      </x:c>
      <x:c r="H227" s="42" t="str"/>
      <x:c r="I227" s="42" t="str"/>
      <x:c r="J227" s="56" t="str">
        <x:v>Friday penance — outside Lent, U.S. Catholics may choose an appropriate penitential practice</x:v>
      </x:c>
      <x:c r="K227" s="58" t="str">
        <x:v>🕯 Franciscan summer Lent — historical Franciscan practice</x:v>
      </x:c>
      <x:c r="L227" s="42" t="str"/>
      <x:c r="M227" s="42" t="str"/>
      <x:c r="N227" s="42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227" s="115" t="e">
        <x:f>HYPERLINK("https://bible.usccb.org/bible/readings/081426.cfm","Open official USCCB readings ↗")</x:f>
        <x:v>HYPERLINK is not implemented. linkLocation=https://bible.usccb.org/bible/readings/081426.cfm, friendlyName=Open official USCCB readings ↗</x:v>
      </x:c>
    </x:row>
    <x:row r="228">
      <x:c r="A228" s="40" t="n">
        <x:v>46249</x:v>
      </x:c>
      <x:c r="B228" s="41" t="str">
        <x:v>Saturday</x:v>
      </x:c>
      <x:c r="C228" s="60" t="str">
        <x:v>Ordinary Time</x:v>
      </x:c>
      <x:c r="D228" s="41" t="str">
        <x:v>Assumption of the Blessed Virgin Mary</x:v>
      </x:c>
      <x:c r="E228" s="41" t="str">
        <x:v>Solemnity</x:v>
      </x:c>
      <x:c r="F228" s="48" t="str">
        <x:v>Assumption of the Blessed Virgin Mary [Solemnity]</x:v>
      </x:c>
      <x:c r="G228" s="42" t="str">
        <x:v>★ 🌹 🙏 📿 ⚔ 🕯</x:v>
      </x:c>
      <x:c r="H228" s="52" t="str">
        <x:v>Assumption — U.S. obligation abrogated because it falls Monday/Saturday</x:v>
      </x:c>
      <x:c r="I228" s="54" t="str">
        <x:v>📿 54-Day Rosary Novena — Day 1/54 [START] — popular Assumption-to-Our-Lady-of-the-Rosary alignment
⚔ St. Michael's Lent [START] — Franciscan/private devotional tradition; exact '40-day' reckoning varies</x:v>
      </x:c>
      <x:c r="J228" s="42" t="str"/>
      <x:c r="K228" s="58" t="str">
        <x:v>🕯 Franciscan summer Lent — historical Franciscan practice</x:v>
      </x:c>
      <x:c r="L228" s="42" t="str"/>
      <x:c r="M228" s="42" t="str"/>
      <x:c r="N228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28" s="115" t="e">
        <x:f>HYPERLINK("https://bible.usccb.org/bible/readings/081526.cfm","Open official USCCB readings ↗")</x:f>
        <x:v>HYPERLINK is not implemented. linkLocation=https://bible.usccb.org/bible/readings/081526.cfm, friendlyName=Open official USCCB readings ↗</x:v>
      </x:c>
    </x:row>
    <x:row r="229">
      <x:c r="A229" s="40" t="n">
        <x:v>46250</x:v>
      </x:c>
      <x:c r="B229" s="41" t="str">
        <x:v>Sunday</x:v>
      </x:c>
      <x:c r="C229" s="60" t="str">
        <x:v>Ordinary Time</x:v>
      </x:c>
      <x:c r="D229" s="41" t="str">
        <x:v>Twentieth Sunday in Ordinary Time</x:v>
      </x:c>
      <x:c r="E229" s="41" t="str">
        <x:v>Sunday</x:v>
      </x:c>
      <x:c r="F229" s="42" t="str">
        <x:v>Saint Stephen of Hungary [Optional Memorial]</x:v>
      </x:c>
      <x:c r="G229" s="42" t="str">
        <x:v>✦ ⛪ 🙏 📿 ⚔</x:v>
      </x:c>
      <x:c r="H229" s="52" t="str">
        <x:v>⛪ Sunday Mass obligation</x:v>
      </x:c>
      <x:c r="I229" s="54" t="str">
        <x:v>📿 54-Day Rosary Novena — Day 2/54 — popular Assumption-to-Our-Lady-of-the-Rosary alignment
⚔ St. Michael's Lent — Franciscan/private devotional tradition; exact '40-day' reckoning varies</x:v>
      </x:c>
      <x:c r="J229" s="42" t="str"/>
      <x:c r="K229" s="42" t="str"/>
      <x:c r="L229" s="42" t="str"/>
      <x:c r="M229" s="42" t="str">
        <x:v>A fixed observance also falls today, but the Sunday or higher-ranking celebration takes liturgical precedence.</x:v>
      </x:c>
      <x:c r="N229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29" s="115" t="e">
        <x:f>HYPERLINK("https://bible.usccb.org/bible/readings/081626.cfm","Open official USCCB readings ↗")</x:f>
        <x:v>HYPERLINK is not implemented. linkLocation=https://bible.usccb.org/bible/readings/081626.cfm, friendlyName=Open official USCCB readings ↗</x:v>
      </x:c>
    </x:row>
    <x:row r="230">
      <x:c r="A230" s="40" t="n">
        <x:v>46251</x:v>
      </x:c>
      <x:c r="B230" s="41" t="str">
        <x:v>Monday</x:v>
      </x:c>
      <x:c r="C230" s="60" t="str">
        <x:v>Ordinary Time</x:v>
      </x:c>
      <x:c r="D230" s="41" t="str">
        <x:v>Weekday in Ordinary Time</x:v>
      </x:c>
      <x:c r="E230" s="41" t="str">
        <x:v>Weekday</x:v>
      </x:c>
      <x:c r="F230" s="42" t="str"/>
      <x:c r="G230" s="42" t="str">
        <x:v>🙏 📿 ⚔</x:v>
      </x:c>
      <x:c r="H230" s="42" t="str"/>
      <x:c r="I230" s="54" t="str">
        <x:v>📿 54-Day Rosary Novena — Day 3/54 — popular Assumption-to-Our-Lady-of-the-Rosary alignment
⚔ St. Michael's Lent — Franciscan/private devotional tradition; exact '40-day' reckoning varies</x:v>
      </x:c>
      <x:c r="J230" s="42" t="str"/>
      <x:c r="K230" s="42" t="str"/>
      <x:c r="L230" s="42" t="str"/>
      <x:c r="M230" s="42" t="str"/>
      <x:c r="N230" s="42" t="str">
        <x:v>https://www.usccb.org/resources/2026cal.pdf
https://hallow.com/blog/how-to-pray-54-day-novena/
https://www.franciscantradition.org/blog/the-five-lents-of-francis-vjkyuy/</x:v>
      </x:c>
      <x:c r="O230" s="115" t="e">
        <x:f>HYPERLINK("https://bible.usccb.org/bible/readings/081726.cfm","Open official USCCB readings ↗")</x:f>
        <x:v>HYPERLINK is not implemented. linkLocation=https://bible.usccb.org/bible/readings/081726.cfm, friendlyName=Open official USCCB readings ↗</x:v>
      </x:c>
    </x:row>
    <x:row r="231">
      <x:c r="A231" s="40" t="n">
        <x:v>46252</x:v>
      </x:c>
      <x:c r="B231" s="41" t="str">
        <x:v>Tuesday</x:v>
      </x:c>
      <x:c r="C231" s="60" t="str">
        <x:v>Ordinary Time</x:v>
      </x:c>
      <x:c r="D231" s="41" t="str">
        <x:v>Weekday in Ordinary Time</x:v>
      </x:c>
      <x:c r="E231" s="41" t="str">
        <x:v>Weekday</x:v>
      </x:c>
      <x:c r="F231" s="42" t="str"/>
      <x:c r="G231" s="42" t="str">
        <x:v>🙏 📿 ⚔</x:v>
      </x:c>
      <x:c r="H231" s="42" t="str"/>
      <x:c r="I231" s="54" t="str">
        <x:v>📿 54-Day Rosary Novena — Day 4/54 — popular Assumption-to-Our-Lady-of-the-Rosary alignment
⚔ St. Michael's Lent — Franciscan/private devotional tradition; exact '40-day' reckoning varies</x:v>
      </x:c>
      <x:c r="J231" s="42" t="str"/>
      <x:c r="K231" s="42" t="str"/>
      <x:c r="L231" s="42" t="str"/>
      <x:c r="M231" s="42" t="str"/>
      <x:c r="N231" s="42" t="str">
        <x:v>https://www.usccb.org/resources/2026cal.pdf
https://hallow.com/blog/how-to-pray-54-day-novena/
https://www.franciscantradition.org/blog/the-five-lents-of-francis-vjkyuy/</x:v>
      </x:c>
      <x:c r="O231" s="115" t="e">
        <x:f>HYPERLINK("https://bible.usccb.org/bible/readings/081826.cfm","Open official USCCB readings ↗")</x:f>
        <x:v>HYPERLINK is not implemented. linkLocation=https://bible.usccb.org/bible/readings/081826.cfm, friendlyName=Open official USCCB readings ↗</x:v>
      </x:c>
    </x:row>
    <x:row r="232">
      <x:c r="A232" s="40" t="n">
        <x:v>46253</x:v>
      </x:c>
      <x:c r="B232" s="41" t="str">
        <x:v>Wednesday</x:v>
      </x:c>
      <x:c r="C232" s="60" t="str">
        <x:v>Ordinary Time</x:v>
      </x:c>
      <x:c r="D232" s="41" t="str">
        <x:v>Weekday in Ordinary Time</x:v>
      </x:c>
      <x:c r="E232" s="41" t="str">
        <x:v>Weekday</x:v>
      </x:c>
      <x:c r="F232" s="42" t="str">
        <x:v>Saint John Eudes [Optional Memorial]</x:v>
      </x:c>
      <x:c r="G232" s="42" t="str">
        <x:v>✦ 🙏 📿 ⚔</x:v>
      </x:c>
      <x:c r="H232" s="42" t="str"/>
      <x:c r="I232" s="54" t="str">
        <x:v>📿 54-Day Rosary Novena — Day 5/54 — popular Assumption-to-Our-Lady-of-the-Rosary alignment
⚔ St. Michael's Lent — Franciscan/private devotional tradition; exact '40-day' reckoning varies</x:v>
      </x:c>
      <x:c r="J232" s="42" t="str"/>
      <x:c r="K232" s="42" t="str"/>
      <x:c r="L232" s="42" t="str"/>
      <x:c r="M232" s="42" t="str"/>
      <x:c r="N232" s="42" t="str">
        <x:v>https://www.usccb.org/resources/2026cal.pdf
https://hallow.com/blog/how-to-pray-54-day-novena/
https://www.franciscantradition.org/blog/the-five-lents-of-francis-vjkyuy/</x:v>
      </x:c>
      <x:c r="O232" s="115" t="e">
        <x:f>HYPERLINK("https://bible.usccb.org/bible/readings/081926.cfm","Open official USCCB readings ↗")</x:f>
        <x:v>HYPERLINK is not implemented. linkLocation=https://bible.usccb.org/bible/readings/081926.cfm, friendlyName=Open official USCCB readings ↗</x:v>
      </x:c>
    </x:row>
    <x:row r="233">
      <x:c r="A233" s="40" t="n">
        <x:v>46254</x:v>
      </x:c>
      <x:c r="B233" s="41" t="str">
        <x:v>Thursday</x:v>
      </x:c>
      <x:c r="C233" s="60" t="str">
        <x:v>Ordinary Time</x:v>
      </x:c>
      <x:c r="D233" s="41" t="str">
        <x:v>Saint Bernard</x:v>
      </x:c>
      <x:c r="E233" s="41" t="str">
        <x:v>Memorial</x:v>
      </x:c>
      <x:c r="F233" s="42" t="str">
        <x:v>Saint Bernard [Memorial]</x:v>
      </x:c>
      <x:c r="G233" s="42" t="str">
        <x:v>✦ 🙏 📿 ⚔</x:v>
      </x:c>
      <x:c r="H233" s="42" t="str"/>
      <x:c r="I233" s="54" t="str">
        <x:v>📿 54-Day Rosary Novena — Day 6/54 — popular Assumption-to-Our-Lady-of-the-Rosary alignment
⚔ St. Michael's Lent — Franciscan/private devotional tradition; exact '40-day' reckoning varies</x:v>
      </x:c>
      <x:c r="J233" s="42" t="str"/>
      <x:c r="K233" s="42" t="str"/>
      <x:c r="L233" s="42" t="str"/>
      <x:c r="M233" s="42" t="str"/>
      <x:c r="N233" s="42" t="str">
        <x:v>https://www.usccb.org/resources/2026cal.pdf
https://hallow.com/blog/how-to-pray-54-day-novena/
https://www.franciscantradition.org/blog/the-five-lents-of-francis-vjkyuy/</x:v>
      </x:c>
      <x:c r="O233" s="115" t="e">
        <x:f>HYPERLINK("https://bible.usccb.org/bible/readings/082026.cfm","Open official USCCB readings ↗")</x:f>
        <x:v>HYPERLINK is not implemented. linkLocation=https://bible.usccb.org/bible/readings/082026.cfm, friendlyName=Open official USCCB readings ↗</x:v>
      </x:c>
    </x:row>
    <x:row r="234">
      <x:c r="A234" s="40" t="n">
        <x:v>46255</x:v>
      </x:c>
      <x:c r="B234" s="41" t="str">
        <x:v>Friday</x:v>
      </x:c>
      <x:c r="C234" s="60" t="str">
        <x:v>Ordinary Time</x:v>
      </x:c>
      <x:c r="D234" s="41" t="str">
        <x:v>Saint Pius X</x:v>
      </x:c>
      <x:c r="E234" s="41" t="str">
        <x:v>Memorial</x:v>
      </x:c>
      <x:c r="F234" s="42" t="str">
        <x:v>Saint Pius X [Memorial]</x:v>
      </x:c>
      <x:c r="G234" s="42" t="str">
        <x:v>✦ 🙏 📿 ⚔ Ⓟ</x:v>
      </x:c>
      <x:c r="H234" s="42" t="str"/>
      <x:c r="I234" s="54" t="str">
        <x:v>📿 54-Day Rosary Novena — Day 7/54 — popular Assumption-to-Our-Lady-of-the-Rosary alignment
⚔ St. Michael's Lent — Franciscan/private devotional tradition; exact '40-day' reckoning varies</x:v>
      </x:c>
      <x:c r="J234" s="56" t="str">
        <x:v>Friday penance — outside Lent, U.S. Catholics may choose an appropriate penitential practice</x:v>
      </x:c>
      <x:c r="K234" s="42" t="str"/>
      <x:c r="L234" s="42" t="str"/>
      <x:c r="M234" s="42" t="str"/>
      <x:c r="N234" s="42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34" s="115" t="e">
        <x:f>HYPERLINK("https://bible.usccb.org/bible/readings/082126.cfm","Open official USCCB readings ↗")</x:f>
        <x:v>HYPERLINK is not implemented. linkLocation=https://bible.usccb.org/bible/readings/082126.cfm, friendlyName=Open official USCCB readings ↗</x:v>
      </x:c>
    </x:row>
    <x:row r="235">
      <x:c r="A235" s="40" t="n">
        <x:v>46256</x:v>
      </x:c>
      <x:c r="B235" s="41" t="str">
        <x:v>Saturday</x:v>
      </x:c>
      <x:c r="C235" s="60" t="str">
        <x:v>Ordinary Time</x:v>
      </x:c>
      <x:c r="D235" s="41" t="str">
        <x:v>Queenship of the Blessed Virgin Mary</x:v>
      </x:c>
      <x:c r="E235" s="41" t="str">
        <x:v>Memorial</x:v>
      </x:c>
      <x:c r="F235" s="48" t="str">
        <x:v>Queenship of the Blessed Virgin Mary [Memorial]</x:v>
      </x:c>
      <x:c r="G235" s="42" t="str">
        <x:v>🌹 🙏 📿 ⚔</x:v>
      </x:c>
      <x:c r="H235" s="42" t="str"/>
      <x:c r="I235" s="54" t="str">
        <x:v>📿 54-Day Rosary Novena — Day 8/54 — popular Assumption-to-Our-Lady-of-the-Rosary alignment
⚔ St. Michael's Lent — Franciscan/private devotional tradition; exact '40-day' reckoning varies</x:v>
      </x:c>
      <x:c r="J235" s="42" t="str"/>
      <x:c r="K235" s="42" t="str"/>
      <x:c r="L235" s="42" t="str"/>
      <x:c r="M235" s="42" t="str"/>
      <x:c r="N235" s="42" t="str">
        <x:v>https://www.usccb.org/resources/2026cal.pdf
https://hallow.com/blog/how-to-pray-54-day-novena/
https://www.franciscantradition.org/blog/the-five-lents-of-francis-vjkyuy/</x:v>
      </x:c>
      <x:c r="O235" s="115" t="e">
        <x:f>HYPERLINK("https://bible.usccb.org/bible/readings/082226.cfm","Open official USCCB readings ↗")</x:f>
        <x:v>HYPERLINK is not implemented. linkLocation=https://bible.usccb.org/bible/readings/082226.cfm, friendlyName=Open official USCCB readings ↗</x:v>
      </x:c>
    </x:row>
    <x:row r="236">
      <x:c r="A236" s="40" t="n">
        <x:v>46257</x:v>
      </x:c>
      <x:c r="B236" s="41" t="str">
        <x:v>Sunday</x:v>
      </x:c>
      <x:c r="C236" s="60" t="str">
        <x:v>Ordinary Time</x:v>
      </x:c>
      <x:c r="D236" s="41" t="str">
        <x:v>Twenty-First Sunday in Ordinary Time</x:v>
      </x:c>
      <x:c r="E236" s="41" t="str">
        <x:v>Sunday</x:v>
      </x:c>
      <x:c r="F236" s="42" t="str">
        <x:v>Saint Rose of Lima [Optional Memorial]</x:v>
      </x:c>
      <x:c r="G236" s="42" t="str">
        <x:v>✦ ⛪ 🙏 📿 ⚔</x:v>
      </x:c>
      <x:c r="H236" s="52" t="str">
        <x:v>⛪ Sunday Mass obligation</x:v>
      </x:c>
      <x:c r="I236" s="54" t="str">
        <x:v>📿 54-Day Rosary Novena — Day 9/54 — popular Assumption-to-Our-Lady-of-the-Rosary alignment
⚔ St. Michael's Lent — Franciscan/private devotional tradition; exact '40-day' reckoning varies</x:v>
      </x:c>
      <x:c r="J236" s="42" t="str"/>
      <x:c r="K236" s="42" t="str"/>
      <x:c r="L236" s="42" t="str"/>
      <x:c r="M236" s="42" t="str">
        <x:v>A fixed observance also falls today, but the Sunday or higher-ranking celebration takes liturgical precedence.</x:v>
      </x:c>
      <x:c r="N236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36" s="115" t="e">
        <x:f>HYPERLINK("https://bible.usccb.org/bible/readings/082326.cfm","Open official USCCB readings ↗")</x:f>
        <x:v>HYPERLINK is not implemented. linkLocation=https://bible.usccb.org/bible/readings/082326.cfm, friendlyName=Open official USCCB readings ↗</x:v>
      </x:c>
    </x:row>
    <x:row r="237">
      <x:c r="A237" s="40" t="n">
        <x:v>46258</x:v>
      </x:c>
      <x:c r="B237" s="41" t="str">
        <x:v>Monday</x:v>
      </x:c>
      <x:c r="C237" s="60" t="str">
        <x:v>Ordinary Time</x:v>
      </x:c>
      <x:c r="D237" s="41" t="str">
        <x:v>Saint Bartholomew, Apostle</x:v>
      </x:c>
      <x:c r="E237" s="41" t="str">
        <x:v>Feast</x:v>
      </x:c>
      <x:c r="F237" s="42" t="str">
        <x:v>Saint Bartholomew, Apostle [Feast]</x:v>
      </x:c>
      <x:c r="G237" s="42" t="str">
        <x:v>★ ✦ 🙏 📿 ⚔</x:v>
      </x:c>
      <x:c r="H237" s="42" t="str"/>
      <x:c r="I237" s="54" t="str">
        <x:v>📿 54-Day Rosary Novena — Day 10/54 — popular Assumption-to-Our-Lady-of-the-Rosary alignment
⚔ St. Michael's Lent — Franciscan/private devotional tradition; exact '40-day' reckoning varies</x:v>
      </x:c>
      <x:c r="J237" s="42" t="str"/>
      <x:c r="K237" s="42" t="str"/>
      <x:c r="L237" s="42" t="str"/>
      <x:c r="M237" s="42" t="str"/>
      <x:c r="N237" s="42" t="str">
        <x:v>https://www.usccb.org/resources/2026cal.pdf
https://hallow.com/blog/how-to-pray-54-day-novena/
https://www.franciscantradition.org/blog/the-five-lents-of-francis-vjkyuy/</x:v>
      </x:c>
      <x:c r="O237" s="115" t="e">
        <x:f>HYPERLINK("https://bible.usccb.org/bible/readings/082426.cfm","Open official USCCB readings ↗")</x:f>
        <x:v>HYPERLINK is not implemented. linkLocation=https://bible.usccb.org/bible/readings/082426.cfm, friendlyName=Open official USCCB readings ↗</x:v>
      </x:c>
    </x:row>
    <x:row r="238">
      <x:c r="A238" s="40" t="n">
        <x:v>46259</x:v>
      </x:c>
      <x:c r="B238" s="41" t="str">
        <x:v>Tuesday</x:v>
      </x:c>
      <x:c r="C238" s="60" t="str">
        <x:v>Ordinary Time</x:v>
      </x:c>
      <x:c r="D238" s="41" t="str">
        <x:v>Weekday in Ordinary Time</x:v>
      </x:c>
      <x:c r="E238" s="41" t="str">
        <x:v>Weekday</x:v>
      </x:c>
      <x:c r="F238" s="42" t="str">
        <x:v>Saint Louis; Saint Joseph Calasanz [Optional Memorial]</x:v>
      </x:c>
      <x:c r="G238" s="42" t="str">
        <x:v>✦ 🙏 📿 ⚔</x:v>
      </x:c>
      <x:c r="H238" s="42" t="str"/>
      <x:c r="I238" s="54" t="str">
        <x:v>📿 54-Day Rosary Novena — Day 11/54 — popular Assumption-to-Our-Lady-of-the-Rosary alignment
⚔ St. Michael's Lent — Franciscan/private devotional tradition; exact '40-day' reckoning varies</x:v>
      </x:c>
      <x:c r="J238" s="42" t="str"/>
      <x:c r="K238" s="42" t="str"/>
      <x:c r="L238" s="42" t="str"/>
      <x:c r="M238" s="42" t="str"/>
      <x:c r="N238" s="42" t="str">
        <x:v>https://www.usccb.org/resources/2026cal.pdf
https://hallow.com/blog/how-to-pray-54-day-novena/
https://www.franciscantradition.org/blog/the-five-lents-of-francis-vjkyuy/</x:v>
      </x:c>
      <x:c r="O238" s="115" t="e">
        <x:f>HYPERLINK("https://bible.usccb.org/bible/readings/082526.cfm","Open official USCCB readings ↗")</x:f>
        <x:v>HYPERLINK is not implemented. linkLocation=https://bible.usccb.org/bible/readings/082526.cfm, friendlyName=Open official USCCB readings ↗</x:v>
      </x:c>
    </x:row>
    <x:row r="239">
      <x:c r="A239" s="40" t="n">
        <x:v>46260</x:v>
      </x:c>
      <x:c r="B239" s="41" t="str">
        <x:v>Wednesday</x:v>
      </x:c>
      <x:c r="C239" s="60" t="str">
        <x:v>Ordinary Time</x:v>
      </x:c>
      <x:c r="D239" s="41" t="str">
        <x:v>Weekday in Ordinary Time</x:v>
      </x:c>
      <x:c r="E239" s="41" t="str">
        <x:v>Weekday</x:v>
      </x:c>
      <x:c r="F239" s="42" t="str"/>
      <x:c r="G239" s="42" t="str">
        <x:v>🙏 📿 ⚔</x:v>
      </x:c>
      <x:c r="H239" s="42" t="str"/>
      <x:c r="I239" s="54" t="str">
        <x:v>📿 54-Day Rosary Novena — Day 12/54 — popular Assumption-to-Our-Lady-of-the-Rosary alignment
⚔ St. Michael's Lent — Franciscan/private devotional tradition; exact '40-day' reckoning varies</x:v>
      </x:c>
      <x:c r="J239" s="42" t="str"/>
      <x:c r="K239" s="42" t="str"/>
      <x:c r="L239" s="42" t="str"/>
      <x:c r="M239" s="42" t="str"/>
      <x:c r="N239" s="42" t="str">
        <x:v>https://www.usccb.org/resources/2026cal.pdf
https://hallow.com/blog/how-to-pray-54-day-novena/
https://www.franciscantradition.org/blog/the-five-lents-of-francis-vjkyuy/</x:v>
      </x:c>
      <x:c r="O239" s="115" t="e">
        <x:f>HYPERLINK("https://bible.usccb.org/bible/readings/082626.cfm","Open official USCCB readings ↗")</x:f>
        <x:v>HYPERLINK is not implemented. linkLocation=https://bible.usccb.org/bible/readings/082626.cfm, friendlyName=Open official USCCB readings ↗</x:v>
      </x:c>
    </x:row>
    <x:row r="240">
      <x:c r="A240" s="40" t="n">
        <x:v>46261</x:v>
      </x:c>
      <x:c r="B240" s="41" t="str">
        <x:v>Thursday</x:v>
      </x:c>
      <x:c r="C240" s="60" t="str">
        <x:v>Ordinary Time</x:v>
      </x:c>
      <x:c r="D240" s="41" t="str">
        <x:v>Saint Monica</x:v>
      </x:c>
      <x:c r="E240" s="41" t="str">
        <x:v>Memorial</x:v>
      </x:c>
      <x:c r="F240" s="42" t="str">
        <x:v>Saint Monica [Memorial]</x:v>
      </x:c>
      <x:c r="G240" s="42" t="str">
        <x:v>✦ 🙏 📿 ⚔</x:v>
      </x:c>
      <x:c r="H240" s="42" t="str"/>
      <x:c r="I240" s="54" t="str">
        <x:v>📿 54-Day Rosary Novena — Day 13/54 — popular Assumption-to-Our-Lady-of-the-Rosary alignment
⚔ St. Michael's Lent — Franciscan/private devotional tradition; exact '40-day' reckoning varies</x:v>
      </x:c>
      <x:c r="J240" s="42" t="str"/>
      <x:c r="K240" s="42" t="str"/>
      <x:c r="L240" s="42" t="str"/>
      <x:c r="M240" s="42" t="str"/>
      <x:c r="N240" s="42" t="str">
        <x:v>https://www.usccb.org/resources/2026cal.pdf
https://hallow.com/blog/how-to-pray-54-day-novena/
https://www.franciscantradition.org/blog/the-five-lents-of-francis-vjkyuy/</x:v>
      </x:c>
      <x:c r="O240" s="115" t="e">
        <x:f>HYPERLINK("https://bible.usccb.org/bible/readings/082726.cfm","Open official USCCB readings ↗")</x:f>
        <x:v>HYPERLINK is not implemented. linkLocation=https://bible.usccb.org/bible/readings/082726.cfm, friendlyName=Open official USCCB readings ↗</x:v>
      </x:c>
    </x:row>
    <x:row r="241">
      <x:c r="A241" s="40" t="n">
        <x:v>46262</x:v>
      </x:c>
      <x:c r="B241" s="41" t="str">
        <x:v>Friday</x:v>
      </x:c>
      <x:c r="C241" s="60" t="str">
        <x:v>Ordinary Time</x:v>
      </x:c>
      <x:c r="D241" s="41" t="str">
        <x:v>Saint Augustine</x:v>
      </x:c>
      <x:c r="E241" s="41" t="str">
        <x:v>Memorial</x:v>
      </x:c>
      <x:c r="F241" s="42" t="str">
        <x:v>Saint Augustine [Memorial]</x:v>
      </x:c>
      <x:c r="G241" s="42" t="str">
        <x:v>✦ 🙏 📿 ⚔ Ⓟ</x:v>
      </x:c>
      <x:c r="H241" s="42" t="str"/>
      <x:c r="I241" s="54" t="str">
        <x:v>📿 54-Day Rosary Novena — Day 14/54 — popular Assumption-to-Our-Lady-of-the-Rosary alignment
⚔ St. Michael's Lent — Franciscan/private devotional tradition; exact '40-day' reckoning varies</x:v>
      </x:c>
      <x:c r="J241" s="56" t="str">
        <x:v>Friday penance — outside Lent, U.S. Catholics may choose an appropriate penitential practice</x:v>
      </x:c>
      <x:c r="K241" s="42" t="str"/>
      <x:c r="L241" s="42" t="str"/>
      <x:c r="M241" s="42" t="str"/>
      <x:c r="N241" s="42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41" s="115" t="e">
        <x:f>HYPERLINK("https://bible.usccb.org/bible/readings/082826.cfm","Open official USCCB readings ↗")</x:f>
        <x:v>HYPERLINK is not implemented. linkLocation=https://bible.usccb.org/bible/readings/082826.cfm, friendlyName=Open official USCCB readings ↗</x:v>
      </x:c>
    </x:row>
    <x:row r="242">
      <x:c r="A242" s="40" t="n">
        <x:v>46263</x:v>
      </x:c>
      <x:c r="B242" s="41" t="str">
        <x:v>Saturday</x:v>
      </x:c>
      <x:c r="C242" s="60" t="str">
        <x:v>Ordinary Time</x:v>
      </x:c>
      <x:c r="D242" s="41" t="str">
        <x:v>Passion of Saint John the Baptist</x:v>
      </x:c>
      <x:c r="E242" s="41" t="str">
        <x:v>Memorial</x:v>
      </x:c>
      <x:c r="F242" s="42" t="str">
        <x:v>Passion of Saint John the Baptist [Memorial]</x:v>
      </x:c>
      <x:c r="G242" s="42" t="str">
        <x:v>✦ 🙏 📿 ⚔</x:v>
      </x:c>
      <x:c r="H242" s="42" t="str"/>
      <x:c r="I242" s="54" t="str">
        <x:v>📿 54-Day Rosary Novena — Day 15/54 — popular Assumption-to-Our-Lady-of-the-Rosary alignment
⚔ St. Michael's Lent — Franciscan/private devotional tradition; exact '40-day' reckoning varies</x:v>
      </x:c>
      <x:c r="J242" s="42" t="str"/>
      <x:c r="K242" s="42" t="str"/>
      <x:c r="L242" s="42" t="str"/>
      <x:c r="M242" s="42" t="str"/>
      <x:c r="N242" s="42" t="str">
        <x:v>https://www.usccb.org/resources/2026cal.pdf
https://hallow.com/blog/how-to-pray-54-day-novena/
https://www.franciscantradition.org/blog/the-five-lents-of-francis-vjkyuy/</x:v>
      </x:c>
      <x:c r="O242" s="115" t="e">
        <x:f>HYPERLINK("https://bible.usccb.org/bible/readings/082926.cfm","Open official USCCB readings ↗")</x:f>
        <x:v>HYPERLINK is not implemented. linkLocation=https://bible.usccb.org/bible/readings/082926.cfm, friendlyName=Open official USCCB readings ↗</x:v>
      </x:c>
    </x:row>
    <x:row r="243">
      <x:c r="A243" s="40" t="n">
        <x:v>46264</x:v>
      </x:c>
      <x:c r="B243" s="41" t="str">
        <x:v>Sunday</x:v>
      </x:c>
      <x:c r="C243" s="60" t="str">
        <x:v>Ordinary Time</x:v>
      </x:c>
      <x:c r="D243" s="41" t="str">
        <x:v>Twenty-Second Sunday in Ordinary Time</x:v>
      </x:c>
      <x:c r="E243" s="41" t="str">
        <x:v>Sunday</x:v>
      </x:c>
      <x:c r="F243" s="42" t="str"/>
      <x:c r="G243" s="42" t="str">
        <x:v>⛪ 🙏 📿 ⚔</x:v>
      </x:c>
      <x:c r="H243" s="52" t="str">
        <x:v>⛪ Sunday Mass obligation</x:v>
      </x:c>
      <x:c r="I243" s="54" t="str">
        <x:v>📿 54-Day Rosary Novena — Day 16/54 — popular Assumption-to-Our-Lady-of-the-Rosary alignment
⚔ St. Michael's Lent — Franciscan/private devotional tradition; exact '40-day' reckoning varies</x:v>
      </x:c>
      <x:c r="J243" s="42" t="str"/>
      <x:c r="K243" s="42" t="str"/>
      <x:c r="L243" s="42" t="str"/>
      <x:c r="M243" s="42" t="str"/>
      <x:c r="N243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43" s="115" t="e">
        <x:f>HYPERLINK("https://bible.usccb.org/bible/readings/083026.cfm","Open official USCCB readings ↗")</x:f>
        <x:v>HYPERLINK is not implemented. linkLocation=https://bible.usccb.org/bible/readings/083026.cfm, friendlyName=Open official USCCB readings ↗</x:v>
      </x:c>
    </x:row>
    <x:row r="244">
      <x:c r="A244" s="40" t="n">
        <x:v>46265</x:v>
      </x:c>
      <x:c r="B244" s="41" t="str">
        <x:v>Monday</x:v>
      </x:c>
      <x:c r="C244" s="60" t="str">
        <x:v>Ordinary Time</x:v>
      </x:c>
      <x:c r="D244" s="41" t="str">
        <x:v>Weekday in Ordinary Time</x:v>
      </x:c>
      <x:c r="E244" s="41" t="str">
        <x:v>Weekday</x:v>
      </x:c>
      <x:c r="F244" s="42" t="str"/>
      <x:c r="G244" s="42" t="str">
        <x:v>🙏 📿 ⚔</x:v>
      </x:c>
      <x:c r="H244" s="42" t="str"/>
      <x:c r="I244" s="54" t="str">
        <x:v>📿 54-Day Rosary Novena — Day 17/54 — popular Assumption-to-Our-Lady-of-the-Rosary alignment
⚔ St. Michael's Lent — Franciscan/private devotional tradition; exact '40-day' reckoning varies</x:v>
      </x:c>
      <x:c r="J244" s="42" t="str"/>
      <x:c r="K244" s="42" t="str"/>
      <x:c r="L244" s="42" t="str"/>
      <x:c r="M244" s="42" t="str"/>
      <x:c r="N244" s="42" t="str">
        <x:v>https://www.usccb.org/resources/2026cal.pdf
https://hallow.com/blog/how-to-pray-54-day-novena/
https://www.franciscantradition.org/blog/the-five-lents-of-francis-vjkyuy/</x:v>
      </x:c>
      <x:c r="O244" s="115" t="e">
        <x:f>HYPERLINK("https://bible.usccb.org/bible/readings/083126.cfm","Open official USCCB readings ↗")</x:f>
        <x:v>HYPERLINK is not implemented. linkLocation=https://bible.usccb.org/bible/readings/083126.cfm, friendlyName=Open official USCCB readings ↗</x:v>
      </x:c>
    </x:row>
    <x:row r="245">
      <x:c r="A245" s="40" t="n">
        <x:v>46266</x:v>
      </x:c>
      <x:c r="B245" s="41" t="str">
        <x:v>Tuesday</x:v>
      </x:c>
      <x:c r="C245" s="60" t="str">
        <x:v>Ordinary Time</x:v>
      </x:c>
      <x:c r="D245" s="41" t="str">
        <x:v>Weekday in Ordinary Time</x:v>
      </x:c>
      <x:c r="E245" s="41" t="str">
        <x:v>Weekday</x:v>
      </x:c>
      <x:c r="F245" s="42" t="str"/>
      <x:c r="G245" s="42" t="str">
        <x:v>🙏 📿 ⚔</x:v>
      </x:c>
      <x:c r="H245" s="42" t="str"/>
      <x:c r="I245" s="54" t="str">
        <x:v>📿 54-Day Rosary Novena — Day 18/54 — popular Assumption-to-Our-Lady-of-the-Rosary alignment
⚔ St. Michael's Lent — Franciscan/private devotional tradition; exact '40-day' reckoning varies</x:v>
      </x:c>
      <x:c r="J245" s="42" t="str"/>
      <x:c r="K245" s="42" t="str"/>
      <x:c r="L245" s="42" t="str"/>
      <x:c r="M245" s="42" t="str"/>
      <x:c r="N245" s="42" t="str">
        <x:v>https://www.usccb.org/resources/2026cal.pdf
https://hallow.com/blog/how-to-pray-54-day-novena/
https://www.franciscantradition.org/blog/the-five-lents-of-francis-vjkyuy/</x:v>
      </x:c>
      <x:c r="O245" s="115" t="e">
        <x:f>HYPERLINK("https://bible.usccb.org/bible/readings/090126.cfm","Open official USCCB readings ↗")</x:f>
        <x:v>HYPERLINK is not implemented. linkLocation=https://bible.usccb.org/bible/readings/090126.cfm, friendlyName=Open official USCCB readings ↗</x:v>
      </x:c>
    </x:row>
    <x:row r="246">
      <x:c r="A246" s="40" t="n">
        <x:v>46267</x:v>
      </x:c>
      <x:c r="B246" s="41" t="str">
        <x:v>Wednesday</x:v>
      </x:c>
      <x:c r="C246" s="60" t="str">
        <x:v>Ordinary Time</x:v>
      </x:c>
      <x:c r="D246" s="41" t="str">
        <x:v>Weekday in Ordinary Time</x:v>
      </x:c>
      <x:c r="E246" s="41" t="str">
        <x:v>Weekday</x:v>
      </x:c>
      <x:c r="F246" s="42" t="str"/>
      <x:c r="G246" s="42" t="str">
        <x:v>🙏 📿 ⚔</x:v>
      </x:c>
      <x:c r="H246" s="42" t="str"/>
      <x:c r="I246" s="54" t="str">
        <x:v>📿 54-Day Rosary Novena — Day 19/54 — popular Assumption-to-Our-Lady-of-the-Rosary alignment
⚔ St. Michael's Lent — Franciscan/private devotional tradition; exact '40-day' reckoning varies</x:v>
      </x:c>
      <x:c r="J246" s="42" t="str"/>
      <x:c r="K246" s="42" t="str"/>
      <x:c r="L246" s="42" t="str"/>
      <x:c r="M246" s="42" t="str"/>
      <x:c r="N246" s="42" t="str">
        <x:v>https://www.usccb.org/resources/2026cal.pdf
https://hallow.com/blog/how-to-pray-54-day-novena/
https://www.franciscantradition.org/blog/the-five-lents-of-francis-vjkyuy/</x:v>
      </x:c>
      <x:c r="O246" s="115" t="e">
        <x:f>HYPERLINK("https://bible.usccb.org/bible/readings/090226.cfm","Open official USCCB readings ↗")</x:f>
        <x:v>HYPERLINK is not implemented. linkLocation=https://bible.usccb.org/bible/readings/090226.cfm, friendlyName=Open official USCCB readings ↗</x:v>
      </x:c>
    </x:row>
    <x:row r="247">
      <x:c r="A247" s="40" t="n">
        <x:v>46268</x:v>
      </x:c>
      <x:c r="B247" s="41" t="str">
        <x:v>Thursday</x:v>
      </x:c>
      <x:c r="C247" s="60" t="str">
        <x:v>Ordinary Time</x:v>
      </x:c>
      <x:c r="D247" s="41" t="str">
        <x:v>Saint Gregory the Great</x:v>
      </x:c>
      <x:c r="E247" s="41" t="str">
        <x:v>Memorial</x:v>
      </x:c>
      <x:c r="F247" s="42" t="str">
        <x:v>Saint Gregory the Great [Memorial]</x:v>
      </x:c>
      <x:c r="G247" s="42" t="str">
        <x:v>✦ 🙏 📿 ⚔</x:v>
      </x:c>
      <x:c r="H247" s="42" t="str"/>
      <x:c r="I247" s="54" t="str">
        <x:v>📿 54-Day Rosary Novena — Day 20/54 — popular Assumption-to-Our-Lady-of-the-Rosary alignment
⚔ St. Michael's Lent — Franciscan/private devotional tradition; exact '40-day' reckoning varies</x:v>
      </x:c>
      <x:c r="J247" s="42" t="str"/>
      <x:c r="K247" s="42" t="str"/>
      <x:c r="L247" s="42" t="str"/>
      <x:c r="M247" s="42" t="str"/>
      <x:c r="N247" s="42" t="str">
        <x:v>https://www.usccb.org/resources/2026cal.pdf
https://hallow.com/blog/how-to-pray-54-day-novena/
https://www.franciscantradition.org/blog/the-five-lents-of-francis-vjkyuy/</x:v>
      </x:c>
      <x:c r="O247" s="115" t="e">
        <x:f>HYPERLINK("https://bible.usccb.org/bible/readings/090326.cfm","Open official USCCB readings ↗")</x:f>
        <x:v>HYPERLINK is not implemented. linkLocation=https://bible.usccb.org/bible/readings/090326.cfm, friendlyName=Open official USCCB readings ↗</x:v>
      </x:c>
    </x:row>
    <x:row r="248">
      <x:c r="A248" s="40" t="n">
        <x:v>46269</x:v>
      </x:c>
      <x:c r="B248" s="41" t="str">
        <x:v>Friday</x:v>
      </x:c>
      <x:c r="C248" s="60" t="str">
        <x:v>Ordinary Time</x:v>
      </x:c>
      <x:c r="D248" s="41" t="str">
        <x:v>Weekday in Ordinary Time</x:v>
      </x:c>
      <x:c r="E248" s="41" t="str">
        <x:v>Weekday</x:v>
      </x:c>
      <x:c r="F248" s="42" t="str"/>
      <x:c r="G248" s="42" t="str">
        <x:v>🙏 📿 ⚔ Ⓟ</x:v>
      </x:c>
      <x:c r="H248" s="42" t="str"/>
      <x:c r="I248" s="54" t="str">
        <x:v>📿 54-Day Rosary Novena — Day 21/54 — popular Assumption-to-Our-Lady-of-the-Rosary alignment
⚔ St. Michael's Lent — Franciscan/private devotional tradition; exact '40-day' reckoning varies
❤ First Friday — Sacred Heart devotion</x:v>
      </x:c>
      <x:c r="J248" s="56" t="str">
        <x:v>Friday penance — outside Lent, U.S. Catholics may choose an appropriate penitential practice</x:v>
      </x:c>
      <x:c r="K248" s="42" t="str"/>
      <x:c r="L248" s="42" t="str"/>
      <x:c r="M248" s="42" t="str"/>
      <x:c r="N248" s="42" t="str">
        <x:v>https://www.usccb.org/resources/2026cal.pdf
https://hallow.com/blog/how-to-pray-54-day-novena/
https://www.franciscantradition.org/blog/the-five-lents-of-francis-vjkyuy/
https://www.ewtn.com/catholicism/library/first-friday-devotion-to-sacred-heart-4692
https://www.usccb.org/prayer-and-worship/liturgical-year-and-calendar/lent/catholic-information-on-lenten-fast-and-abstinence</x:v>
      </x:c>
      <x:c r="O248" s="115" t="e">
        <x:f>HYPERLINK("https://bible.usccb.org/bible/readings/090426.cfm","Open official USCCB readings ↗")</x:f>
        <x:v>HYPERLINK is not implemented. linkLocation=https://bible.usccb.org/bible/readings/090426.cfm, friendlyName=Open official USCCB readings ↗</x:v>
      </x:c>
    </x:row>
    <x:row r="249">
      <x:c r="A249" s="40" t="n">
        <x:v>46270</x:v>
      </x:c>
      <x:c r="B249" s="41" t="str">
        <x:v>Saturday</x:v>
      </x:c>
      <x:c r="C249" s="60" t="str">
        <x:v>Ordinary Time</x:v>
      </x:c>
      <x:c r="D249" s="41" t="str">
        <x:v>Weekday in Ordinary Time</x:v>
      </x:c>
      <x:c r="E249" s="41" t="str">
        <x:v>Weekday</x:v>
      </x:c>
      <x:c r="F249" s="48" t="str">
        <x:v>Saint Teresa of Calcutta [Optional Memorial]</x:v>
      </x:c>
      <x:c r="G249" s="42" t="str">
        <x:v>✦ 🙏 📿 ⚔ 🌹</x:v>
      </x:c>
      <x:c r="H249" s="42" t="str"/>
      <x:c r="I249" s="54" t="str">
        <x:v>📿 54-Day Rosary Novena — Day 22/54 — popular Assumption-to-Our-Lady-of-the-Rosary alignment
⚔ St. Michael's Lent — Franciscan/private devotional tradition; exact '40-day' reckoning varies
🌹 First Saturday — Immaculate Heart devotion</x:v>
      </x:c>
      <x:c r="J249" s="42" t="str"/>
      <x:c r="K249" s="42" t="str"/>
      <x:c r="L249" s="42" t="str"/>
      <x:c r="M249" s="42" t="str"/>
      <x:c r="N249" s="42" t="str">
        <x:v>https://www.usccb.org/resources/2026cal.pdf
https://hallow.com/blog/how-to-pray-54-day-novena/
https://www.franciscantradition.org/blog/the-five-lents-of-francis-vjkyuy/
https://www.ewtn.com/catholicism/library/revelation-of-the-immaculate-heart-at-fatima-in-1917-5465</x:v>
      </x:c>
      <x:c r="O249" s="115" t="e">
        <x:f>HYPERLINK("https://bible.usccb.org/bible/readings/090526.cfm","Open official USCCB readings ↗")</x:f>
        <x:v>HYPERLINK is not implemented. linkLocation=https://bible.usccb.org/bible/readings/090526.cfm, friendlyName=Open official USCCB readings ↗</x:v>
      </x:c>
    </x:row>
    <x:row r="250">
      <x:c r="A250" s="40" t="n">
        <x:v>46271</x:v>
      </x:c>
      <x:c r="B250" s="41" t="str">
        <x:v>Sunday</x:v>
      </x:c>
      <x:c r="C250" s="60" t="str">
        <x:v>Ordinary Time</x:v>
      </x:c>
      <x:c r="D250" s="41" t="str">
        <x:v>Twenty-Third Sunday in Ordinary Time</x:v>
      </x:c>
      <x:c r="E250" s="41" t="str">
        <x:v>Sunday</x:v>
      </x:c>
      <x:c r="F250" s="42" t="str"/>
      <x:c r="G250" s="42" t="str">
        <x:v>⛪ 🙏 📿 ⚔</x:v>
      </x:c>
      <x:c r="H250" s="52" t="str">
        <x:v>⛪ Sunday Mass obligation</x:v>
      </x:c>
      <x:c r="I250" s="54" t="str">
        <x:v>📿 54-Day Rosary Novena — Day 23/54 — popular Assumption-to-Our-Lady-of-the-Rosary alignment
⚔ St. Michael's Lent — Franciscan/private devotional tradition; exact '40-day' reckoning varies</x:v>
      </x:c>
      <x:c r="J250" s="42" t="str"/>
      <x:c r="K250" s="42" t="str"/>
      <x:c r="L250" s="42" t="str"/>
      <x:c r="M250" s="42" t="str"/>
      <x:c r="N250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50" s="115" t="e">
        <x:f>HYPERLINK("https://bible.usccb.org/bible/readings/090626.cfm","Open official USCCB readings ↗")</x:f>
        <x:v>HYPERLINK is not implemented. linkLocation=https://bible.usccb.org/bible/readings/090626.cfm, friendlyName=Open official USCCB readings ↗</x:v>
      </x:c>
    </x:row>
    <x:row r="251">
      <x:c r="A251" s="40" t="n">
        <x:v>46272</x:v>
      </x:c>
      <x:c r="B251" s="41" t="str">
        <x:v>Monday</x:v>
      </x:c>
      <x:c r="C251" s="60" t="str">
        <x:v>Ordinary Time</x:v>
      </x:c>
      <x:c r="D251" s="41" t="str">
        <x:v>Weekday in Ordinary Time</x:v>
      </x:c>
      <x:c r="E251" s="41" t="str">
        <x:v>Weekday</x:v>
      </x:c>
      <x:c r="F251" s="42" t="str"/>
      <x:c r="G251" s="42" t="str">
        <x:v>🙏 📿 ⚔</x:v>
      </x:c>
      <x:c r="H251" s="42" t="str"/>
      <x:c r="I251" s="54" t="str">
        <x:v>📿 54-Day Rosary Novena — Day 24/54 — popular Assumption-to-Our-Lady-of-the-Rosary alignment
⚔ St. Michael's Lent — Franciscan/private devotional tradition; exact '40-day' reckoning varies</x:v>
      </x:c>
      <x:c r="J251" s="42" t="str"/>
      <x:c r="K251" s="42" t="str"/>
      <x:c r="L251" s="42" t="str"/>
      <x:c r="M251" s="42" t="str"/>
      <x:c r="N251" s="42" t="str">
        <x:v>https://www.usccb.org/resources/2026cal.pdf
https://hallow.com/blog/how-to-pray-54-day-novena/
https://www.franciscantradition.org/blog/the-five-lents-of-francis-vjkyuy/</x:v>
      </x:c>
      <x:c r="O251" s="115" t="e">
        <x:f>HYPERLINK("https://bible.usccb.org/bible/readings/090726.cfm","Open official USCCB readings ↗")</x:f>
        <x:v>HYPERLINK is not implemented. linkLocation=https://bible.usccb.org/bible/readings/090726.cfm, friendlyName=Open official USCCB readings ↗</x:v>
      </x:c>
    </x:row>
    <x:row r="252">
      <x:c r="A252" s="40" t="n">
        <x:v>46273</x:v>
      </x:c>
      <x:c r="B252" s="41" t="str">
        <x:v>Tuesday</x:v>
      </x:c>
      <x:c r="C252" s="60" t="str">
        <x:v>Ordinary Time</x:v>
      </x:c>
      <x:c r="D252" s="41" t="str">
        <x:v>Nativity of the Blessed Virgin Mary</x:v>
      </x:c>
      <x:c r="E252" s="41" t="str">
        <x:v>Feast</x:v>
      </x:c>
      <x:c r="F252" s="48" t="str">
        <x:v>Nativity of the Blessed Virgin Mary [Feast]</x:v>
      </x:c>
      <x:c r="G252" s="42" t="str">
        <x:v>★ 🌹 🙏 📿 ⚔</x:v>
      </x:c>
      <x:c r="H252" s="42" t="str"/>
      <x:c r="I252" s="54" t="str">
        <x:v>📿 54-Day Rosary Novena — Day 25/54 — popular Assumption-to-Our-Lady-of-the-Rosary alignment
⚔ St. Michael's Lent — Franciscan/private devotional tradition; exact '40-day' reckoning varies</x:v>
      </x:c>
      <x:c r="J252" s="42" t="str"/>
      <x:c r="K252" s="42" t="str"/>
      <x:c r="L252" s="42" t="str"/>
      <x:c r="M252" s="42" t="str"/>
      <x:c r="N252" s="42" t="str">
        <x:v>https://www.usccb.org/resources/2026cal.pdf
https://hallow.com/blog/how-to-pray-54-day-novena/
https://www.franciscantradition.org/blog/the-five-lents-of-francis-vjkyuy/</x:v>
      </x:c>
      <x:c r="O252" s="115" t="e">
        <x:f>HYPERLINK("https://bible.usccb.org/bible/readings/090826.cfm","Open official USCCB readings ↗")</x:f>
        <x:v>HYPERLINK is not implemented. linkLocation=https://bible.usccb.org/bible/readings/090826.cfm, friendlyName=Open official USCCB readings ↗</x:v>
      </x:c>
    </x:row>
    <x:row r="253">
      <x:c r="A253" s="40" t="n">
        <x:v>46274</x:v>
      </x:c>
      <x:c r="B253" s="41" t="str">
        <x:v>Wednesday</x:v>
      </x:c>
      <x:c r="C253" s="60" t="str">
        <x:v>Ordinary Time</x:v>
      </x:c>
      <x:c r="D253" s="41" t="str">
        <x:v>Saint Peter Claver</x:v>
      </x:c>
      <x:c r="E253" s="41" t="str">
        <x:v>Memorial</x:v>
      </x:c>
      <x:c r="F253" s="42" t="str">
        <x:v>Saint Peter Claver [Memorial]</x:v>
      </x:c>
      <x:c r="G253" s="42" t="str">
        <x:v>✦ 🙏 📿 ⚔</x:v>
      </x:c>
      <x:c r="H253" s="42" t="str"/>
      <x:c r="I253" s="54" t="str">
        <x:v>📿 54-Day Rosary Novena — Day 26/54 — popular Assumption-to-Our-Lady-of-the-Rosary alignment
⚔ St. Michael's Lent — Franciscan/private devotional tradition; exact '40-day' reckoning varies</x:v>
      </x:c>
      <x:c r="J253" s="42" t="str"/>
      <x:c r="K253" s="42" t="str"/>
      <x:c r="L253" s="42" t="str"/>
      <x:c r="M253" s="42" t="str"/>
      <x:c r="N253" s="42" t="str">
        <x:v>https://www.usccb.org/resources/2026cal.pdf
https://hallow.com/blog/how-to-pray-54-day-novena/
https://www.franciscantradition.org/blog/the-five-lents-of-francis-vjkyuy/</x:v>
      </x:c>
      <x:c r="O253" s="115" t="e">
        <x:f>HYPERLINK("https://bible.usccb.org/bible/readings/090926.cfm","Open official USCCB readings ↗")</x:f>
        <x:v>HYPERLINK is not implemented. linkLocation=https://bible.usccb.org/bible/readings/090926.cfm, friendlyName=Open official USCCB readings ↗</x:v>
      </x:c>
    </x:row>
    <x:row r="254">
      <x:c r="A254" s="40" t="n">
        <x:v>46275</x:v>
      </x:c>
      <x:c r="B254" s="41" t="str">
        <x:v>Thursday</x:v>
      </x:c>
      <x:c r="C254" s="60" t="str">
        <x:v>Ordinary Time</x:v>
      </x:c>
      <x:c r="D254" s="41" t="str">
        <x:v>Weekday in Ordinary Time</x:v>
      </x:c>
      <x:c r="E254" s="41" t="str">
        <x:v>Weekday</x:v>
      </x:c>
      <x:c r="F254" s="42" t="str"/>
      <x:c r="G254" s="42" t="str">
        <x:v>🙏 📿 ⚔</x:v>
      </x:c>
      <x:c r="H254" s="42" t="str"/>
      <x:c r="I254" s="54" t="str">
        <x:v>📿 54-Day Rosary Novena — Day 27/54 — popular Assumption-to-Our-Lady-of-the-Rosary alignment
⚔ St. Michael's Lent — Franciscan/private devotional tradition; exact '40-day' reckoning varies</x:v>
      </x:c>
      <x:c r="J254" s="42" t="str"/>
      <x:c r="K254" s="42" t="str"/>
      <x:c r="L254" s="42" t="str"/>
      <x:c r="M254" s="42" t="str"/>
      <x:c r="N254" s="42" t="str">
        <x:v>https://www.usccb.org/resources/2026cal.pdf
https://hallow.com/blog/how-to-pray-54-day-novena/
https://www.franciscantradition.org/blog/the-five-lents-of-francis-vjkyuy/</x:v>
      </x:c>
      <x:c r="O254" s="115" t="e">
        <x:f>HYPERLINK("https://bible.usccb.org/bible/readings/091026.cfm","Open official USCCB readings ↗")</x:f>
        <x:v>HYPERLINK is not implemented. linkLocation=https://bible.usccb.org/bible/readings/091026.cfm, friendlyName=Open official USCCB readings ↗</x:v>
      </x:c>
    </x:row>
    <x:row r="255">
      <x:c r="A255" s="40" t="n">
        <x:v>46276</x:v>
      </x:c>
      <x:c r="B255" s="41" t="str">
        <x:v>Friday</x:v>
      </x:c>
      <x:c r="C255" s="60" t="str">
        <x:v>Ordinary Time</x:v>
      </x:c>
      <x:c r="D255" s="41" t="str">
        <x:v>Weekday in Ordinary Time</x:v>
      </x:c>
      <x:c r="E255" s="41" t="str">
        <x:v>Weekday</x:v>
      </x:c>
      <x:c r="F255" s="42" t="str"/>
      <x:c r="G255" s="42" t="str">
        <x:v>🙏 📿 ⚔ Ⓟ</x:v>
      </x:c>
      <x:c r="H255" s="42" t="str"/>
      <x:c r="I255" s="54" t="str">
        <x:v>📿 54-Day Rosary Novena — Day 28/54 — popular Assumption-to-Our-Lady-of-the-Rosary alignment
⚔ St. Michael's Lent — Franciscan/private devotional tradition; exact '40-day' reckoning varies</x:v>
      </x:c>
      <x:c r="J255" s="56" t="str">
        <x:v>Friday penance — outside Lent, U.S. Catholics may choose an appropriate penitential practice</x:v>
      </x:c>
      <x:c r="K255" s="42" t="str"/>
      <x:c r="L255" s="42" t="str"/>
      <x:c r="M255" s="42" t="str"/>
      <x:c r="N255" s="42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55" s="115" t="e">
        <x:f>HYPERLINK("https://bible.usccb.org/bible/readings/091126.cfm","Open official USCCB readings ↗")</x:f>
        <x:v>HYPERLINK is not implemented. linkLocation=https://bible.usccb.org/bible/readings/091126.cfm, friendlyName=Open official USCCB readings ↗</x:v>
      </x:c>
    </x:row>
    <x:row r="256">
      <x:c r="A256" s="40" t="n">
        <x:v>46277</x:v>
      </x:c>
      <x:c r="B256" s="41" t="str">
        <x:v>Saturday</x:v>
      </x:c>
      <x:c r="C256" s="60" t="str">
        <x:v>Ordinary Time</x:v>
      </x:c>
      <x:c r="D256" s="41" t="str">
        <x:v>Weekday in Ordinary Time</x:v>
      </x:c>
      <x:c r="E256" s="41" t="str">
        <x:v>Weekday</x:v>
      </x:c>
      <x:c r="F256" s="48" t="str">
        <x:v>Most Holy Name of Mary [Optional Memorial]</x:v>
      </x:c>
      <x:c r="G256" s="42" t="str">
        <x:v>🌹 🙏 📿 ⚔</x:v>
      </x:c>
      <x:c r="H256" s="42" t="str"/>
      <x:c r="I256" s="54" t="str">
        <x:v>📿 54-Day Rosary Novena — Day 29/54 — popular Assumption-to-Our-Lady-of-the-Rosary alignment
⚔ St. Michael's Lent — Franciscan/private devotional tradition; exact '40-day' reckoning varies</x:v>
      </x:c>
      <x:c r="J256" s="42" t="str"/>
      <x:c r="K256" s="42" t="str"/>
      <x:c r="L256" s="42" t="str"/>
      <x:c r="M256" s="42" t="str"/>
      <x:c r="N256" s="42" t="str">
        <x:v>https://www.usccb.org/resources/2026cal.pdf
https://hallow.com/blog/how-to-pray-54-day-novena/
https://www.franciscantradition.org/blog/the-five-lents-of-francis-vjkyuy/</x:v>
      </x:c>
      <x:c r="O256" s="115" t="e">
        <x:f>HYPERLINK("https://bible.usccb.org/bible/readings/091226.cfm","Open official USCCB readings ↗")</x:f>
        <x:v>HYPERLINK is not implemented. linkLocation=https://bible.usccb.org/bible/readings/091226.cfm, friendlyName=Open official USCCB readings ↗</x:v>
      </x:c>
    </x:row>
    <x:row r="257">
      <x:c r="A257" s="40" t="n">
        <x:v>46278</x:v>
      </x:c>
      <x:c r="B257" s="41" t="str">
        <x:v>Sunday</x:v>
      </x:c>
      <x:c r="C257" s="60" t="str">
        <x:v>Ordinary Time</x:v>
      </x:c>
      <x:c r="D257" s="41" t="str">
        <x:v>Twenty-Fourth Sunday in Ordinary Time</x:v>
      </x:c>
      <x:c r="E257" s="41" t="str">
        <x:v>Sunday</x:v>
      </x:c>
      <x:c r="F257" s="42" t="str">
        <x:v>Saint John Chrysostom [Memorial]</x:v>
      </x:c>
      <x:c r="G257" s="42" t="str">
        <x:v>✦ ⛪ 🙏 📿 ⚔</x:v>
      </x:c>
      <x:c r="H257" s="52" t="str">
        <x:v>⛪ Sunday Mass obligation</x:v>
      </x:c>
      <x:c r="I257" s="54" t="str">
        <x:v>📿 54-Day Rosary Novena — Day 30/54 — popular Assumption-to-Our-Lady-of-the-Rosary alignment
⚔ St. Michael's Lent — Franciscan/private devotional tradition; exact '40-day' reckoning varies</x:v>
      </x:c>
      <x:c r="J257" s="42" t="str"/>
      <x:c r="K257" s="42" t="str"/>
      <x:c r="L257" s="42" t="str"/>
      <x:c r="M257" s="42" t="str">
        <x:v>A fixed observance also falls today, but the Sunday or higher-ranking celebration takes liturgical precedence.</x:v>
      </x:c>
      <x:c r="N257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57" s="115" t="e">
        <x:f>HYPERLINK("https://bible.usccb.org/bible/readings/091326.cfm","Open official USCCB readings ↗")</x:f>
        <x:v>HYPERLINK is not implemented. linkLocation=https://bible.usccb.org/bible/readings/091326.cfm, friendlyName=Open official USCCB readings ↗</x:v>
      </x:c>
    </x:row>
    <x:row r="258">
      <x:c r="A258" s="40" t="n">
        <x:v>46279</x:v>
      </x:c>
      <x:c r="B258" s="41" t="str">
        <x:v>Monday</x:v>
      </x:c>
      <x:c r="C258" s="60" t="str">
        <x:v>Ordinary Time</x:v>
      </x:c>
      <x:c r="D258" s="41" t="str">
        <x:v>Exaltation of the Holy Cross</x:v>
      </x:c>
      <x:c r="E258" s="41" t="str">
        <x:v>Feast</x:v>
      </x:c>
      <x:c r="F258" s="42" t="str">
        <x:v>Exaltation of the Holy Cross [Feast]</x:v>
      </x:c>
      <x:c r="G258" s="42" t="str">
        <x:v>★ ✝ 🙏 📿 ⚔</x:v>
      </x:c>
      <x:c r="H258" s="42" t="str"/>
      <x:c r="I258" s="54" t="str">
        <x:v>📿 54-Day Rosary Novena — Day 31/54 — popular Assumption-to-Our-Lady-of-the-Rosary alignment
⚔ St. Michael's Lent — Franciscan/private devotional tradition; exact '40-day' reckoning varies</x:v>
      </x:c>
      <x:c r="J258" s="42" t="str"/>
      <x:c r="K258" s="42" t="str"/>
      <x:c r="L258" s="42" t="str"/>
      <x:c r="M258" s="42" t="str"/>
      <x:c r="N258" s="42" t="str">
        <x:v>https://www.usccb.org/resources/2026cal.pdf
https://hallow.com/blog/how-to-pray-54-day-novena/
https://www.franciscantradition.org/blog/the-five-lents-of-francis-vjkyuy/</x:v>
      </x:c>
      <x:c r="O258" s="115" t="e">
        <x:f>HYPERLINK("https://bible.usccb.org/bible/readings/091426.cfm","Open official USCCB readings ↗")</x:f>
        <x:v>HYPERLINK is not implemented. linkLocation=https://bible.usccb.org/bible/readings/091426.cfm, friendlyName=Open official USCCB readings ↗</x:v>
      </x:c>
    </x:row>
    <x:row r="259">
      <x:c r="A259" s="40" t="n">
        <x:v>46280</x:v>
      </x:c>
      <x:c r="B259" s="41" t="str">
        <x:v>Tuesday</x:v>
      </x:c>
      <x:c r="C259" s="60" t="str">
        <x:v>Ordinary Time</x:v>
      </x:c>
      <x:c r="D259" s="41" t="str">
        <x:v>Our Lady of Sorrows</x:v>
      </x:c>
      <x:c r="E259" s="41" t="str">
        <x:v>Memorial</x:v>
      </x:c>
      <x:c r="F259" s="48" t="str">
        <x:v>Our Lady of Sorrows [Memorial]</x:v>
      </x:c>
      <x:c r="G259" s="42" t="str">
        <x:v>🌹 🙏 📿 ⚔</x:v>
      </x:c>
      <x:c r="H259" s="42" t="str"/>
      <x:c r="I259" s="54" t="str">
        <x:v>📿 54-Day Rosary Novena — Day 32/54 — popular Assumption-to-Our-Lady-of-the-Rosary alignment
⚔ St. Michael's Lent — Franciscan/private devotional tradition; exact '40-day' reckoning varies</x:v>
      </x:c>
      <x:c r="J259" s="42" t="str"/>
      <x:c r="K259" s="42" t="str"/>
      <x:c r="L259" s="42" t="str"/>
      <x:c r="M259" s="42" t="str"/>
      <x:c r="N259" s="42" t="str">
        <x:v>https://www.usccb.org/resources/2026cal.pdf
https://hallow.com/blog/how-to-pray-54-day-novena/
https://www.franciscantradition.org/blog/the-five-lents-of-francis-vjkyuy/</x:v>
      </x:c>
      <x:c r="O259" s="115" t="e">
        <x:f>HYPERLINK("https://bible.usccb.org/bible/readings/091526.cfm","Open official USCCB readings ↗")</x:f>
        <x:v>HYPERLINK is not implemented. linkLocation=https://bible.usccb.org/bible/readings/091526.cfm, friendlyName=Open official USCCB readings ↗</x:v>
      </x:c>
    </x:row>
    <x:row r="260">
      <x:c r="A260" s="40" t="n">
        <x:v>46281</x:v>
      </x:c>
      <x:c r="B260" s="41" t="str">
        <x:v>Wednesday</x:v>
      </x:c>
      <x:c r="C260" s="60" t="str">
        <x:v>Ordinary Time</x:v>
      </x:c>
      <x:c r="D260" s="41" t="str">
        <x:v>Saints Cornelius and Cyprian</x:v>
      </x:c>
      <x:c r="E260" s="41" t="str">
        <x:v>Memorial</x:v>
      </x:c>
      <x:c r="F260" s="42" t="str">
        <x:v>Saints Cornelius and Cyprian [Memorial]</x:v>
      </x:c>
      <x:c r="G260" s="42" t="str">
        <x:v>✦ 🙏 📿 ⚔ 🕯</x:v>
      </x:c>
      <x:c r="H260" s="42" t="str"/>
      <x:c r="I260" s="54" t="str">
        <x:v>📿 54-Day Rosary Novena — Day 33/54 — popular Assumption-to-Our-Lady-of-the-Rosary alignment
⚔ St. Michael's Lent — Franciscan/private devotional tradition; exact '40-day' reckoning varies</x:v>
      </x:c>
      <x:c r="J260" s="42" t="str"/>
      <x:c r="K260" s="58" t="str">
        <x:v>🕯 Traditional Ember Day</x:v>
      </x:c>
      <x:c r="L260" s="42" t="str"/>
      <x:c r="M260" s="42" t="str"/>
      <x:c r="N260" s="42" t="str">
        <x:v>https://www.usccb.org/resources/2026cal.pdf
https://hallow.com/blog/how-to-pray-54-day-novena/
https://www.franciscantradition.org/blog/the-five-lents-of-francis-vjkyuy/
https://www.newadvent.org/cathen/05399b.htm</x:v>
      </x:c>
      <x:c r="O260" s="115" t="e">
        <x:f>HYPERLINK("https://bible.usccb.org/bible/readings/091626.cfm","Open official USCCB readings ↗")</x:f>
        <x:v>HYPERLINK is not implemented. linkLocation=https://bible.usccb.org/bible/readings/091626.cfm, friendlyName=Open official USCCB readings ↗</x:v>
      </x:c>
    </x:row>
    <x:row r="261">
      <x:c r="A261" s="40" t="n">
        <x:v>46282</x:v>
      </x:c>
      <x:c r="B261" s="41" t="str">
        <x:v>Thursday</x:v>
      </x:c>
      <x:c r="C261" s="60" t="str">
        <x:v>Ordinary Time</x:v>
      </x:c>
      <x:c r="D261" s="41" t="str">
        <x:v>Weekday in Ordinary Time</x:v>
      </x:c>
      <x:c r="E261" s="41" t="str">
        <x:v>Weekday</x:v>
      </x:c>
      <x:c r="F261" s="42" t="str">
        <x:v>Saint Robert Bellarmine; Saint Hildegard of Bingen [Optional Memorial]</x:v>
      </x:c>
      <x:c r="G261" s="42" t="str">
        <x:v>✦ 🙏 📿 ⚔</x:v>
      </x:c>
      <x:c r="H261" s="42" t="str"/>
      <x:c r="I261" s="54" t="str">
        <x:v>📿 54-Day Rosary Novena — Day 34/54 — popular Assumption-to-Our-Lady-of-the-Rosary alignment
⚔ St. Michael's Lent — Franciscan/private devotional tradition; exact '40-day' reckoning varies</x:v>
      </x:c>
      <x:c r="J261" s="42" t="str"/>
      <x:c r="K261" s="42" t="str"/>
      <x:c r="L261" s="42" t="str"/>
      <x:c r="M261" s="42" t="str"/>
      <x:c r="N261" s="42" t="str">
        <x:v>https://www.usccb.org/resources/2026cal.pdf
https://hallow.com/blog/how-to-pray-54-day-novena/
https://www.franciscantradition.org/blog/the-five-lents-of-francis-vjkyuy/</x:v>
      </x:c>
      <x:c r="O261" s="115" t="e">
        <x:f>HYPERLINK("https://bible.usccb.org/bible/readings/091726.cfm","Open official USCCB readings ↗")</x:f>
        <x:v>HYPERLINK is not implemented. linkLocation=https://bible.usccb.org/bible/readings/091726.cfm, friendlyName=Open official USCCB readings ↗</x:v>
      </x:c>
    </x:row>
    <x:row r="262">
      <x:c r="A262" s="40" t="n">
        <x:v>46283</x:v>
      </x:c>
      <x:c r="B262" s="41" t="str">
        <x:v>Friday</x:v>
      </x:c>
      <x:c r="C262" s="60" t="str">
        <x:v>Ordinary Time</x:v>
      </x:c>
      <x:c r="D262" s="41" t="str">
        <x:v>Weekday in Ordinary Time</x:v>
      </x:c>
      <x:c r="E262" s="41" t="str">
        <x:v>Weekday</x:v>
      </x:c>
      <x:c r="F262" s="42" t="str"/>
      <x:c r="G262" s="42" t="str">
        <x:v>🙏 📿 ⚔ Ⓟ 🕯</x:v>
      </x:c>
      <x:c r="H262" s="42" t="str"/>
      <x:c r="I262" s="54" t="str">
        <x:v>📿 54-Day Rosary Novena — Day 35/54 — popular Assumption-to-Our-Lady-of-the-Rosary alignment
⚔ St. Michael's Lent — Franciscan/private devotional tradition; exact '40-day' reckoning varies</x:v>
      </x:c>
      <x:c r="J262" s="56" t="str">
        <x:v>Friday penance — outside Lent, U.S. Catholics may choose an appropriate penitential practice</x:v>
      </x:c>
      <x:c r="K262" s="58" t="str">
        <x:v>🕯 Traditional Ember Day</x:v>
      </x:c>
      <x:c r="L262" s="42" t="str"/>
      <x:c r="M262" s="42" t="str"/>
      <x:c r="N262" s="42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
https://www.newadvent.org/cathen/05399b.htm</x:v>
      </x:c>
      <x:c r="O262" s="115" t="e">
        <x:f>HYPERLINK("https://bible.usccb.org/bible/readings/091826.cfm","Open official USCCB readings ↗")</x:f>
        <x:v>HYPERLINK is not implemented. linkLocation=https://bible.usccb.org/bible/readings/091826.cfm, friendlyName=Open official USCCB readings ↗</x:v>
      </x:c>
    </x:row>
    <x:row r="263">
      <x:c r="A263" s="40" t="n">
        <x:v>46284</x:v>
      </x:c>
      <x:c r="B263" s="41" t="str">
        <x:v>Saturday</x:v>
      </x:c>
      <x:c r="C263" s="60" t="str">
        <x:v>Ordinary Time</x:v>
      </x:c>
      <x:c r="D263" s="41" t="str">
        <x:v>Weekday in Ordinary Time</x:v>
      </x:c>
      <x:c r="E263" s="41" t="str">
        <x:v>Weekday</x:v>
      </x:c>
      <x:c r="F263" s="42" t="str">
        <x:v>Saint Januarius [Optional Memorial]</x:v>
      </x:c>
      <x:c r="G263" s="42" t="str">
        <x:v>✦ 🙏 📿 ⚔ 🕯</x:v>
      </x:c>
      <x:c r="H263" s="42" t="str"/>
      <x:c r="I263" s="54" t="str">
        <x:v>📿 54-Day Rosary Novena — Day 36/54 — popular Assumption-to-Our-Lady-of-the-Rosary alignment
⚔ St. Michael's Lent — Franciscan/private devotional tradition; exact '40-day' reckoning varies</x:v>
      </x:c>
      <x:c r="J263" s="42" t="str"/>
      <x:c r="K263" s="58" t="str">
        <x:v>🕯 Traditional Ember Day</x:v>
      </x:c>
      <x:c r="L263" s="42" t="str"/>
      <x:c r="M263" s="42" t="str"/>
      <x:c r="N263" s="42" t="str">
        <x:v>https://www.usccb.org/resources/2026cal.pdf
https://hallow.com/blog/how-to-pray-54-day-novena/
https://www.franciscantradition.org/blog/the-five-lents-of-francis-vjkyuy/
https://www.newadvent.org/cathen/05399b.htm</x:v>
      </x:c>
      <x:c r="O263" s="115" t="e">
        <x:f>HYPERLINK("https://bible.usccb.org/bible/readings/091926.cfm","Open official USCCB readings ↗")</x:f>
        <x:v>HYPERLINK is not implemented. linkLocation=https://bible.usccb.org/bible/readings/091926.cfm, friendlyName=Open official USCCB readings ↗</x:v>
      </x:c>
    </x:row>
    <x:row r="264">
      <x:c r="A264" s="40" t="n">
        <x:v>46285</x:v>
      </x:c>
      <x:c r="B264" s="41" t="str">
        <x:v>Sunday</x:v>
      </x:c>
      <x:c r="C264" s="60" t="str">
        <x:v>Ordinary Time</x:v>
      </x:c>
      <x:c r="D264" s="41" t="str">
        <x:v>Twenty-Fifth Sunday in Ordinary Time</x:v>
      </x:c>
      <x:c r="E264" s="41" t="str">
        <x:v>Sunday</x:v>
      </x:c>
      <x:c r="F264" s="42" t="str">
        <x:v>Saints Andrew Kim Tae-gŏn, Paul Chŏng Ha-sang and Companions [Memorial]</x:v>
      </x:c>
      <x:c r="G264" s="42" t="str">
        <x:v>✦ ⛪ 🙏 📿 ⚔</x:v>
      </x:c>
      <x:c r="H264" s="52" t="str">
        <x:v>⛪ Sunday Mass obligation</x:v>
      </x:c>
      <x:c r="I264" s="54" t="str">
        <x:v>📿 54-Day Rosary Novena — Day 37/54 — popular Assumption-to-Our-Lady-of-the-Rosary alignment
⚔ St. Michael's Lent — Franciscan/private devotional tradition; exact '40-day' reckoning varies
🙏 Novena to St. Michael the Archangel — Day 1/9 [START]</x:v>
      </x:c>
      <x:c r="J264" s="42" t="str"/>
      <x:c r="K264" s="42" t="str"/>
      <x:c r="L264" s="42" t="str"/>
      <x:c r="M264" s="42" t="str">
        <x:v>A fixed observance also falls today, but the Sunday or higher-ranking celebration takes liturgical precedence.</x:v>
      </x:c>
      <x:c r="N264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
https://www.usccb.org/resources/liturgical-calendar-dioceses-united-states-america</x:v>
      </x:c>
      <x:c r="O264" s="115" t="e">
        <x:f>HYPERLINK("https://bible.usccb.org/bible/readings/092026.cfm","Open official USCCB readings ↗")</x:f>
        <x:v>HYPERLINK is not implemented. linkLocation=https://bible.usccb.org/bible/readings/092026.cfm, friendlyName=Open official USCCB readings ↗</x:v>
      </x:c>
    </x:row>
    <x:row r="265">
      <x:c r="A265" s="40" t="n">
        <x:v>46286</x:v>
      </x:c>
      <x:c r="B265" s="41" t="str">
        <x:v>Monday</x:v>
      </x:c>
      <x:c r="C265" s="60" t="str">
        <x:v>Ordinary Time</x:v>
      </x:c>
      <x:c r="D265" s="41" t="str">
        <x:v>Saint Matthew, Apostle and Evangelist</x:v>
      </x:c>
      <x:c r="E265" s="41" t="str">
        <x:v>Feast</x:v>
      </x:c>
      <x:c r="F265" s="42" t="str">
        <x:v>Saint Matthew, Apostle and Evangelist [Feast]</x:v>
      </x:c>
      <x:c r="G265" s="42" t="str">
        <x:v>★ ✦ 🙏 📿 ⚔</x:v>
      </x:c>
      <x:c r="H265" s="42" t="str"/>
      <x:c r="I265" s="54" t="str">
        <x:v>📿 54-Day Rosary Novena — Day 38/54 — popular Assumption-to-Our-Lady-of-the-Rosary alignment
⚔ St. Michael's Lent — Franciscan/private devotional tradition; exact '40-day' reckoning varies
🙏 Novena to St. Michael the Archangel — Day 2/9</x:v>
      </x:c>
      <x:c r="J265" s="42" t="str"/>
      <x:c r="K265" s="42" t="str"/>
      <x:c r="L265" s="42" t="str"/>
      <x:c r="M265" s="42" t="str"/>
      <x:c r="N265" s="42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65" s="115" t="e">
        <x:f>HYPERLINK("https://bible.usccb.org/bible/readings/092126.cfm","Open official USCCB readings ↗")</x:f>
        <x:v>HYPERLINK is not implemented. linkLocation=https://bible.usccb.org/bible/readings/092126.cfm, friendlyName=Open official USCCB readings ↗</x:v>
      </x:c>
    </x:row>
    <x:row r="266">
      <x:c r="A266" s="40" t="n">
        <x:v>46287</x:v>
      </x:c>
      <x:c r="B266" s="41" t="str">
        <x:v>Tuesday</x:v>
      </x:c>
      <x:c r="C266" s="60" t="str">
        <x:v>Ordinary Time</x:v>
      </x:c>
      <x:c r="D266" s="41" t="str">
        <x:v>Weekday in Ordinary Time</x:v>
      </x:c>
      <x:c r="E266" s="41" t="str">
        <x:v>Weekday</x:v>
      </x:c>
      <x:c r="F266" s="42" t="str"/>
      <x:c r="G266" s="42" t="str">
        <x:v>🙏 📿 ⚔</x:v>
      </x:c>
      <x:c r="H266" s="42" t="str"/>
      <x:c r="I266" s="54" t="str">
        <x:v>📿 54-Day Rosary Novena — Day 39/54 — popular Assumption-to-Our-Lady-of-the-Rosary alignment
⚔ St. Michael's Lent — Franciscan/private devotional tradition; exact '40-day' reckoning varies
🙏 Novena to St. Michael the Archangel — Day 3/9</x:v>
      </x:c>
      <x:c r="J266" s="42" t="str"/>
      <x:c r="K266" s="42" t="str"/>
      <x:c r="L266" s="42" t="str"/>
      <x:c r="M266" s="42" t="str"/>
      <x:c r="N266" s="42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66" s="115" t="e">
        <x:f>HYPERLINK("https://bible.usccb.org/bible/readings/092226.cfm","Open official USCCB readings ↗")</x:f>
        <x:v>HYPERLINK is not implemented. linkLocation=https://bible.usccb.org/bible/readings/092226.cfm, friendlyName=Open official USCCB readings ↗</x:v>
      </x:c>
    </x:row>
    <x:row r="267">
      <x:c r="A267" s="40" t="n">
        <x:v>46288</x:v>
      </x:c>
      <x:c r="B267" s="41" t="str">
        <x:v>Wednesday</x:v>
      </x:c>
      <x:c r="C267" s="60" t="str">
        <x:v>Ordinary Time</x:v>
      </x:c>
      <x:c r="D267" s="41" t="str">
        <x:v>Saint Pio of Pietrelcina</x:v>
      </x:c>
      <x:c r="E267" s="41" t="str">
        <x:v>Memorial</x:v>
      </x:c>
      <x:c r="F267" s="42" t="str">
        <x:v>Saint Pio of Pietrelcina [Memorial]</x:v>
      </x:c>
      <x:c r="G267" s="42" t="str">
        <x:v>✦ 🙏 📿 ⚔</x:v>
      </x:c>
      <x:c r="H267" s="42" t="str"/>
      <x:c r="I267" s="54" t="str">
        <x:v>📿 54-Day Rosary Novena — Day 40/54 — popular Assumption-to-Our-Lady-of-the-Rosary alignment
⚔ St. Michael's Lent — Franciscan/private devotional tradition; exact '40-day' reckoning varies
🙏 Novena to St. Michael the Archangel — Day 4/9</x:v>
      </x:c>
      <x:c r="J267" s="42" t="str"/>
      <x:c r="K267" s="42" t="str"/>
      <x:c r="L267" s="42" t="str"/>
      <x:c r="M267" s="42" t="str"/>
      <x:c r="N267" s="42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67" s="115" t="e">
        <x:f>HYPERLINK("https://bible.usccb.org/bible/readings/092326.cfm","Open official USCCB readings ↗")</x:f>
        <x:v>HYPERLINK is not implemented. linkLocation=https://bible.usccb.org/bible/readings/092326.cfm, friendlyName=Open official USCCB readings ↗</x:v>
      </x:c>
    </x:row>
    <x:row r="268">
      <x:c r="A268" s="40" t="n">
        <x:v>46289</x:v>
      </x:c>
      <x:c r="B268" s="41" t="str">
        <x:v>Thursday</x:v>
      </x:c>
      <x:c r="C268" s="60" t="str">
        <x:v>Ordinary Time</x:v>
      </x:c>
      <x:c r="D268" s="41" t="str">
        <x:v>Weekday in Ordinary Time</x:v>
      </x:c>
      <x:c r="E268" s="41" t="str">
        <x:v>Weekday</x:v>
      </x:c>
      <x:c r="F268" s="42" t="str"/>
      <x:c r="G268" s="42" t="str">
        <x:v>🙏 📿 ⚔</x:v>
      </x:c>
      <x:c r="H268" s="42" t="str"/>
      <x:c r="I268" s="54" t="str">
        <x:v>📿 54-Day Rosary Novena — Day 41/54 — popular Assumption-to-Our-Lady-of-the-Rosary alignment
⚔ St. Michael's Lent — Franciscan/private devotional tradition; exact '40-day' reckoning varies
🙏 Novena to St. Michael the Archangel — Day 5/9</x:v>
      </x:c>
      <x:c r="J268" s="42" t="str"/>
      <x:c r="K268" s="42" t="str"/>
      <x:c r="L268" s="42" t="str"/>
      <x:c r="M268" s="42" t="str"/>
      <x:c r="N268" s="42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68" s="115" t="e">
        <x:f>HYPERLINK("https://bible.usccb.org/bible/readings/092426.cfm","Open official USCCB readings ↗")</x:f>
        <x:v>HYPERLINK is not implemented. linkLocation=https://bible.usccb.org/bible/readings/092426.cfm, friendlyName=Open official USCCB readings ↗</x:v>
      </x:c>
    </x:row>
    <x:row r="269">
      <x:c r="A269" s="40" t="n">
        <x:v>46290</x:v>
      </x:c>
      <x:c r="B269" s="41" t="str">
        <x:v>Friday</x:v>
      </x:c>
      <x:c r="C269" s="60" t="str">
        <x:v>Ordinary Time</x:v>
      </x:c>
      <x:c r="D269" s="41" t="str">
        <x:v>Weekday in Ordinary Time</x:v>
      </x:c>
      <x:c r="E269" s="41" t="str">
        <x:v>Weekday</x:v>
      </x:c>
      <x:c r="F269" s="42" t="str"/>
      <x:c r="G269" s="42" t="str">
        <x:v>🙏 📿 ⚔ Ⓟ</x:v>
      </x:c>
      <x:c r="H269" s="42" t="str"/>
      <x:c r="I269" s="54" t="str">
        <x:v>📿 54-Day Rosary Novena — Day 42/54 — popular Assumption-to-Our-Lady-of-the-Rosary alignment
⚔ St. Michael's Lent — Franciscan/private devotional tradition; exact '40-day' reckoning varies
🙏 Novena to St. Michael the Archangel — Day 6/9</x:v>
      </x:c>
      <x:c r="J269" s="56" t="str">
        <x:v>Friday penance — outside Lent, U.S. Catholics may choose an appropriate penitential practice</x:v>
      </x:c>
      <x:c r="K269" s="42" t="str"/>
      <x:c r="L269" s="42" t="str"/>
      <x:c r="M269" s="42" t="str"/>
      <x:c r="N269" s="42" t="str">
        <x:v>https://www.usccb.org/resources/2026cal.pdf
https://hallow.com/blog/how-to-pray-54-day-novena/
https://www.franciscantradition.org/blog/the-five-lents-of-francis-vjkyuy/
https://www.usccb.org/resources/liturgical-calendar-dioceses-united-states-america
https://www.usccb.org/prayer-and-worship/liturgical-year-and-calendar/lent/catholic-information-on-lenten-fast-and-abstinence</x:v>
      </x:c>
      <x:c r="O269" s="115" t="e">
        <x:f>HYPERLINK("https://bible.usccb.org/bible/readings/092526.cfm","Open official USCCB readings ↗")</x:f>
        <x:v>HYPERLINK is not implemented. linkLocation=https://bible.usccb.org/bible/readings/092526.cfm, friendlyName=Open official USCCB readings ↗</x:v>
      </x:c>
    </x:row>
    <x:row r="270">
      <x:c r="A270" s="40" t="n">
        <x:v>46291</x:v>
      </x:c>
      <x:c r="B270" s="41" t="str">
        <x:v>Saturday</x:v>
      </x:c>
      <x:c r="C270" s="60" t="str">
        <x:v>Ordinary Time</x:v>
      </x:c>
      <x:c r="D270" s="41" t="str">
        <x:v>Weekday in Ordinary Time</x:v>
      </x:c>
      <x:c r="E270" s="41" t="str">
        <x:v>Weekday</x:v>
      </x:c>
      <x:c r="F270" s="42" t="str">
        <x:v>Saints Cosmas and Damian [Optional Memorial]</x:v>
      </x:c>
      <x:c r="G270" s="42" t="str">
        <x:v>✦ 🙏 📿 ⚔</x:v>
      </x:c>
      <x:c r="H270" s="42" t="str"/>
      <x:c r="I270" s="54" t="str">
        <x:v>📿 54-Day Rosary Novena — Day 43/54 — popular Assumption-to-Our-Lady-of-the-Rosary alignment
⚔ St. Michael's Lent — Franciscan/private devotional tradition; exact '40-day' reckoning varies
🙏 Novena to St. Michael the Archangel — Day 7/9</x:v>
      </x:c>
      <x:c r="J270" s="42" t="str"/>
      <x:c r="K270" s="42" t="str"/>
      <x:c r="L270" s="42" t="str"/>
      <x:c r="M270" s="42" t="str"/>
      <x:c r="N270" s="42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70" s="115" t="e">
        <x:f>HYPERLINK("https://bible.usccb.org/bible/readings/092626.cfm","Open official USCCB readings ↗")</x:f>
        <x:v>HYPERLINK is not implemented. linkLocation=https://bible.usccb.org/bible/readings/092626.cfm, friendlyName=Open official USCCB readings ↗</x:v>
      </x:c>
    </x:row>
    <x:row r="271">
      <x:c r="A271" s="40" t="n">
        <x:v>46292</x:v>
      </x:c>
      <x:c r="B271" s="41" t="str">
        <x:v>Sunday</x:v>
      </x:c>
      <x:c r="C271" s="60" t="str">
        <x:v>Ordinary Time</x:v>
      </x:c>
      <x:c r="D271" s="41" t="str">
        <x:v>Twenty-Sixth Sunday in Ordinary Time</x:v>
      </x:c>
      <x:c r="E271" s="41" t="str">
        <x:v>Sunday</x:v>
      </x:c>
      <x:c r="F271" s="42" t="str">
        <x:v>Saint Vincent de Paul [Memorial]</x:v>
      </x:c>
      <x:c r="G271" s="42" t="str">
        <x:v>✦ ⛪ 🙏 📿 ⚔</x:v>
      </x:c>
      <x:c r="H271" s="52" t="str">
        <x:v>⛪ Sunday Mass obligation</x:v>
      </x:c>
      <x:c r="I271" s="54" t="str">
        <x:v>📿 54-Day Rosary Novena — Day 44/54 — popular Assumption-to-Our-Lady-of-the-Rosary alignment
⚔ St. Michael's Lent — Franciscan/private devotional tradition; exact '40-day' reckoning varies
🙏 Novena to St. Michael the Archangel — Day 8/9</x:v>
      </x:c>
      <x:c r="J271" s="42" t="str"/>
      <x:c r="K271" s="42" t="str"/>
      <x:c r="L271" s="42" t="str"/>
      <x:c r="M271" s="42" t="str">
        <x:v>A fixed observance also falls today, but the Sunday or higher-ranking celebration takes liturgical precedence.</x:v>
      </x:c>
      <x:c r="N271" s="42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
https://www.usccb.org/resources/liturgical-calendar-dioceses-united-states-america</x:v>
      </x:c>
      <x:c r="O271" s="115" t="e">
        <x:f>HYPERLINK("https://bible.usccb.org/bible/readings/092726.cfm","Open official USCCB readings ↗")</x:f>
        <x:v>HYPERLINK is not implemented. linkLocation=https://bible.usccb.org/bible/readings/092726.cfm, friendlyName=Open official USCCB readings ↗</x:v>
      </x:c>
    </x:row>
    <x:row r="272">
      <x:c r="A272" s="40" t="n">
        <x:v>46293</x:v>
      </x:c>
      <x:c r="B272" s="41" t="str">
        <x:v>Monday</x:v>
      </x:c>
      <x:c r="C272" s="60" t="str">
        <x:v>Ordinary Time</x:v>
      </x:c>
      <x:c r="D272" s="41" t="str">
        <x:v>Weekday in Ordinary Time</x:v>
      </x:c>
      <x:c r="E272" s="41" t="str">
        <x:v>Weekday</x:v>
      </x:c>
      <x:c r="F272" s="42" t="str">
        <x:v>Saint Wenceslaus; Saint Lawrence Ruiz and Companions [Optional Memorial]</x:v>
      </x:c>
      <x:c r="G272" s="42" t="str">
        <x:v>✦ 🙏 📿 ⚔</x:v>
      </x:c>
      <x:c r="H272" s="42" t="str"/>
      <x:c r="I272" s="54" t="str">
        <x:v>📿 54-Day Rosary Novena — Day 45/54 — popular Assumption-to-Our-Lady-of-the-Rosary alignment
⚔ St. Michael's Lent — Franciscan/private devotional tradition; exact '40-day' reckoning varies
🙏 Novena to St. Michael the Archangel — Day 9/9 [END]</x:v>
      </x:c>
      <x:c r="J272" s="42" t="str"/>
      <x:c r="K272" s="42" t="str"/>
      <x:c r="L272" s="42" t="str"/>
      <x:c r="M272" s="42" t="str"/>
      <x:c r="N272" s="42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72" s="115" t="e">
        <x:f>HYPERLINK("https://bible.usccb.org/bible/readings/092826.cfm","Open official USCCB readings ↗")</x:f>
        <x:v>HYPERLINK is not implemented. linkLocation=https://bible.usccb.org/bible/readings/092826.cfm, friendlyName=Open official USCCB readings ↗</x:v>
      </x:c>
    </x:row>
    <x:row r="273">
      <x:c r="A273" s="40" t="n">
        <x:v>46294</x:v>
      </x:c>
      <x:c r="B273" s="41" t="str">
        <x:v>Tuesday</x:v>
      </x:c>
      <x:c r="C273" s="60" t="str">
        <x:v>Ordinary Time</x:v>
      </x:c>
      <x:c r="D273" s="41" t="str">
        <x:v>Saints Michael, Gabriel and Raphael, Archangels</x:v>
      </x:c>
      <x:c r="E273" s="41" t="str">
        <x:v>Feast</x:v>
      </x:c>
      <x:c r="F273" s="42" t="str">
        <x:v>Saints Michael, Gabriel and Raphael, Archangels [Feast]</x:v>
      </x:c>
      <x:c r="G273" s="42" t="str">
        <x:v>★ ⚔ 🙏 📿</x:v>
      </x:c>
      <x:c r="H273" s="42" t="str"/>
      <x:c r="I273" s="54" t="str">
        <x:v>📿 54-Day Rosary Novena — Day 46/54 — popular Assumption-to-Our-Lady-of-the-Rosary alignment
⚔ St. Michael's Lent [END] — Franciscan/private devotional tradition; exact '40-day' reckoning varies</x:v>
      </x:c>
      <x:c r="J273" s="42" t="str"/>
      <x:c r="K273" s="42" t="str"/>
      <x:c r="L273" s="42" t="str"/>
      <x:c r="M273" s="42" t="str"/>
      <x:c r="N273" s="42" t="str">
        <x:v>https://www.usccb.org/resources/2026cal.pdf
https://hallow.com/blog/how-to-pray-54-day-novena/
https://www.franciscantradition.org/blog/the-five-lents-of-francis-vjkyuy/</x:v>
      </x:c>
      <x:c r="O273" s="115" t="e">
        <x:f>HYPERLINK("https://bible.usccb.org/bible/readings/092926.cfm","Open official USCCB readings ↗")</x:f>
        <x:v>HYPERLINK is not implemented. linkLocation=https://bible.usccb.org/bible/readings/092926.cfm, friendlyName=Open official USCCB readings ↗</x:v>
      </x:c>
    </x:row>
    <x:row r="274">
      <x:c r="A274" s="40" t="n">
        <x:v>46295</x:v>
      </x:c>
      <x:c r="B274" s="41" t="str">
        <x:v>Wednesday</x:v>
      </x:c>
      <x:c r="C274" s="60" t="str">
        <x:v>Ordinary Time</x:v>
      </x:c>
      <x:c r="D274" s="41" t="str">
        <x:v>Saint Jerome</x:v>
      </x:c>
      <x:c r="E274" s="41" t="str">
        <x:v>Memorial</x:v>
      </x:c>
      <x:c r="F274" s="42" t="str">
        <x:v>Saint Jerome [Memorial]</x:v>
      </x:c>
      <x:c r="G274" s="42" t="str">
        <x:v>✦ 🙏 📿</x:v>
      </x:c>
      <x:c r="H274" s="42" t="str"/>
      <x:c r="I274" s="54" t="str">
        <x:v>📿 54-Day Rosary Novena — Day 47/54 — popular Assumption-to-Our-Lady-of-the-Rosary alignment</x:v>
      </x:c>
      <x:c r="J274" s="42" t="str"/>
      <x:c r="K274" s="42" t="str"/>
      <x:c r="L274" s="42" t="str"/>
      <x:c r="M274" s="42" t="str"/>
      <x:c r="N274" s="42" t="str">
        <x:v>https://www.usccb.org/resources/2026cal.pdf
https://hallow.com/blog/how-to-pray-54-day-novena/</x:v>
      </x:c>
      <x:c r="O274" s="115" t="e">
        <x:f>HYPERLINK("https://bible.usccb.org/bible/readings/093026.cfm","Open official USCCB readings ↗")</x:f>
        <x:v>HYPERLINK is not implemented. linkLocation=https://bible.usccb.org/bible/readings/093026.cfm, friendlyName=Open official USCCB readings ↗</x:v>
      </x:c>
    </x:row>
    <x:row r="275">
      <x:c r="A275" s="40" t="n">
        <x:v>46296</x:v>
      </x:c>
      <x:c r="B275" s="41" t="str">
        <x:v>Thursday</x:v>
      </x:c>
      <x:c r="C275" s="60" t="str">
        <x:v>Ordinary Time</x:v>
      </x:c>
      <x:c r="D275" s="41" t="str">
        <x:v>Saint Thérèse of the Child Jesus</x:v>
      </x:c>
      <x:c r="E275" s="41" t="str">
        <x:v>Memorial</x:v>
      </x:c>
      <x:c r="F275" s="42" t="str">
        <x:v>Saint Thérèse of the Child Jesus [Memorial]</x:v>
      </x:c>
      <x:c r="G275" s="42" t="str">
        <x:v>✦ 🙏 📿</x:v>
      </x:c>
      <x:c r="H275" s="42" t="str"/>
      <x:c r="I275" s="54" t="str">
        <x:v>📿 54-Day Rosary Novena — Day 48/54 — popular Assumption-to-Our-Lady-of-the-Rosary alignment</x:v>
      </x:c>
      <x:c r="J275" s="42" t="str"/>
      <x:c r="K275" s="42" t="str"/>
      <x:c r="L275" s="42" t="str"/>
      <x:c r="M275" s="42" t="str"/>
      <x:c r="N275" s="42" t="str">
        <x:v>https://www.usccb.org/resources/2026cal.pdf
https://hallow.com/blog/how-to-pray-54-day-novena/</x:v>
      </x:c>
      <x:c r="O275" s="115" t="e">
        <x:f>HYPERLINK("https://bible.usccb.org/bible/readings/100126.cfm","Open official USCCB readings ↗")</x:f>
        <x:v>HYPERLINK is not implemented. linkLocation=https://bible.usccb.org/bible/readings/100126.cfm, friendlyName=Open official USCCB readings ↗</x:v>
      </x:c>
    </x:row>
    <x:row r="276">
      <x:c r="A276" s="40" t="n">
        <x:v>46297</x:v>
      </x:c>
      <x:c r="B276" s="41" t="str">
        <x:v>Friday</x:v>
      </x:c>
      <x:c r="C276" s="60" t="str">
        <x:v>Ordinary Time</x:v>
      </x:c>
      <x:c r="D276" s="41" t="str">
        <x:v>Holy Guardian Angels</x:v>
      </x:c>
      <x:c r="E276" s="41" t="str">
        <x:v>Memorial</x:v>
      </x:c>
      <x:c r="F276" s="42" t="str">
        <x:v>Holy Guardian Angels [Memorial]</x:v>
      </x:c>
      <x:c r="G276" s="42" t="str">
        <x:v>✦ 🙏 📿 Ⓟ</x:v>
      </x:c>
      <x:c r="H276" s="42" t="str"/>
      <x:c r="I276" s="54" t="str">
        <x:v>📿 54-Day Rosary Novena — Day 49/54 — popular Assumption-to-Our-Lady-of-the-Rosary alignment
❤ First Friday — Sacred Heart devotion</x:v>
      </x:c>
      <x:c r="J276" s="56" t="str">
        <x:v>Friday penance — outside Lent, U.S. Catholics may choose an appropriate penitential practice</x:v>
      </x:c>
      <x:c r="K276" s="42" t="str"/>
      <x:c r="L276" s="42" t="str"/>
      <x:c r="M276" s="42" t="str"/>
      <x:c r="N276" s="42" t="str">
        <x:v>https://www.usccb.org/resources/2026cal.pdf
https://hallow.com/blog/how-to-pray-54-day-novena/
https://www.ewtn.com/catholicism/library/first-friday-devotion-to-sacred-heart-4692
https://www.usccb.org/prayer-and-worship/liturgical-year-and-calendar/lent/catholic-information-on-lenten-fast-and-abstinence</x:v>
      </x:c>
      <x:c r="O276" s="115" t="e">
        <x:f>HYPERLINK("https://bible.usccb.org/bible/readings/100226.cfm","Open official USCCB readings ↗")</x:f>
        <x:v>HYPERLINK is not implemented. linkLocation=https://bible.usccb.org/bible/readings/100226.cfm, friendlyName=Open official USCCB readings ↗</x:v>
      </x:c>
    </x:row>
    <x:row r="277">
      <x:c r="A277" s="40" t="n">
        <x:v>46298</x:v>
      </x:c>
      <x:c r="B277" s="41" t="str">
        <x:v>Saturday</x:v>
      </x:c>
      <x:c r="C277" s="60" t="str">
        <x:v>Ordinary Time</x:v>
      </x:c>
      <x:c r="D277" s="41" t="str">
        <x:v>Weekday in Ordinary Time</x:v>
      </x:c>
      <x:c r="E277" s="41" t="str">
        <x:v>Weekday</x:v>
      </x:c>
      <x:c r="F277" s="48" t="str"/>
      <x:c r="G277" s="42" t="str">
        <x:v>🙏 📿 🌹</x:v>
      </x:c>
      <x:c r="H277" s="42" t="str"/>
      <x:c r="I277" s="54" t="str">
        <x:v>📿 54-Day Rosary Novena — Day 50/54 — popular Assumption-to-Our-Lady-of-the-Rosary alignment
🌹 First Saturday — Immaculate Heart devotion</x:v>
      </x:c>
      <x:c r="J277" s="42" t="str"/>
      <x:c r="K277" s="42" t="str"/>
      <x:c r="L277" s="42" t="str"/>
      <x:c r="M277" s="42" t="str"/>
      <x:c r="N277" s="42" t="str">
        <x:v>https://www.usccb.org/resources/2026cal.pdf
https://hallow.com/blog/how-to-pray-54-day-novena/
https://www.ewtn.com/catholicism/library/revelation-of-the-immaculate-heart-at-fatima-in-1917-5465</x:v>
      </x:c>
      <x:c r="O277" s="115" t="e">
        <x:f>HYPERLINK("https://bible.usccb.org/bible/readings/100326.cfm","Open official USCCB readings ↗")</x:f>
        <x:v>HYPERLINK is not implemented. linkLocation=https://bible.usccb.org/bible/readings/100326.cfm, friendlyName=Open official USCCB readings ↗</x:v>
      </x:c>
    </x:row>
    <x:row r="278">
      <x:c r="A278" s="40" t="n">
        <x:v>46299</x:v>
      </x:c>
      <x:c r="B278" s="41" t="str">
        <x:v>Sunday</x:v>
      </x:c>
      <x:c r="C278" s="60" t="str">
        <x:v>Ordinary Time</x:v>
      </x:c>
      <x:c r="D278" s="41" t="str">
        <x:v>Twenty-Seventh Sunday in Ordinary Time</x:v>
      </x:c>
      <x:c r="E278" s="41" t="str">
        <x:v>Sunday</x:v>
      </x:c>
      <x:c r="F278" s="42" t="str">
        <x:v>Saint Francis of Assisi [Memorial]</x:v>
      </x:c>
      <x:c r="G278" s="42" t="str">
        <x:v>✦ ⛪ 🙏 📿</x:v>
      </x:c>
      <x:c r="H278" s="52" t="str">
        <x:v>⛪ Sunday Mass obligation</x:v>
      </x:c>
      <x:c r="I278" s="54" t="str">
        <x:v>📿 54-Day Rosary Novena — Day 51/54 — popular Assumption-to-Our-Lady-of-the-Rosary alignment</x:v>
      </x:c>
      <x:c r="J278" s="42" t="str"/>
      <x:c r="K278" s="42" t="str"/>
      <x:c r="L278" s="42" t="str"/>
      <x:c r="M278" s="42" t="str">
        <x:v>A fixed observance also falls today, but the Sunday or higher-ranking celebration takes liturgical precedence.</x:v>
      </x:c>
      <x:c r="N278" s="42" t="str">
        <x:v>https://www.usccb.org/resources/2026cal.pdf
https://www.usccb.org/beliefs-and-teachings/what-we-believe/canon-law/complementary-norms/canon-1246
https://hallow.com/blog/how-to-pray-54-day-novena/</x:v>
      </x:c>
      <x:c r="O278" s="115" t="e">
        <x:f>HYPERLINK("https://bible.usccb.org/bible/readings/100426.cfm","Open official USCCB readings ↗")</x:f>
        <x:v>HYPERLINK is not implemented. linkLocation=https://bible.usccb.org/bible/readings/100426.cfm, friendlyName=Open official USCCB readings ↗</x:v>
      </x:c>
    </x:row>
    <x:row r="279">
      <x:c r="A279" s="40" t="n">
        <x:v>46300</x:v>
      </x:c>
      <x:c r="B279" s="41" t="str">
        <x:v>Monday</x:v>
      </x:c>
      <x:c r="C279" s="60" t="str">
        <x:v>Ordinary Time</x:v>
      </x:c>
      <x:c r="D279" s="41" t="str">
        <x:v>Weekday in Ordinary Time</x:v>
      </x:c>
      <x:c r="E279" s="41" t="str">
        <x:v>Weekday</x:v>
      </x:c>
      <x:c r="F279" s="42" t="str">
        <x:v>Saint Faustina Kowalska; Blessed Francis Xavier Seelos [Optional Memorial]</x:v>
      </x:c>
      <x:c r="G279" s="42" t="str">
        <x:v>✦ 🙏 📿</x:v>
      </x:c>
      <x:c r="H279" s="42" t="str"/>
      <x:c r="I279" s="54" t="str">
        <x:v>📿 54-Day Rosary Novena — Day 52/54 — popular Assumption-to-Our-Lady-of-the-Rosary alignment</x:v>
      </x:c>
      <x:c r="J279" s="42" t="str"/>
      <x:c r="K279" s="42" t="str"/>
      <x:c r="L279" s="42" t="str"/>
      <x:c r="M279" s="42" t="str"/>
      <x:c r="N279" s="42" t="str">
        <x:v>https://www.usccb.org/resources/2026cal.pdf
https://hallow.com/blog/how-to-pray-54-day-novena/</x:v>
      </x:c>
      <x:c r="O279" s="115" t="e">
        <x:f>HYPERLINK("https://bible.usccb.org/bible/readings/100526.cfm","Open official USCCB readings ↗")</x:f>
        <x:v>HYPERLINK is not implemented. linkLocation=https://bible.usccb.org/bible/readings/100526.cfm, friendlyName=Open official USCCB readings ↗</x:v>
      </x:c>
    </x:row>
    <x:row r="280">
      <x:c r="A280" s="40" t="n">
        <x:v>46301</x:v>
      </x:c>
      <x:c r="B280" s="41" t="str">
        <x:v>Tuesday</x:v>
      </x:c>
      <x:c r="C280" s="60" t="str">
        <x:v>Ordinary Time</x:v>
      </x:c>
      <x:c r="D280" s="41" t="str">
        <x:v>Weekday in Ordinary Time</x:v>
      </x:c>
      <x:c r="E280" s="41" t="str">
        <x:v>Weekday</x:v>
      </x:c>
      <x:c r="F280" s="42" t="str">
        <x:v>Saint Bruno; Blessed Marie Rose Durocher [Optional Memorial]</x:v>
      </x:c>
      <x:c r="G280" s="42" t="str">
        <x:v>✦ 🙏 📿</x:v>
      </x:c>
      <x:c r="H280" s="42" t="str"/>
      <x:c r="I280" s="54" t="str">
        <x:v>📿 54-Day Rosary Novena — Day 53/54 — popular Assumption-to-Our-Lady-of-the-Rosary alignment</x:v>
      </x:c>
      <x:c r="J280" s="42" t="str"/>
      <x:c r="K280" s="42" t="str"/>
      <x:c r="L280" s="42" t="str"/>
      <x:c r="M280" s="42" t="str"/>
      <x:c r="N280" s="42" t="str">
        <x:v>https://www.usccb.org/resources/2026cal.pdf
https://hallow.com/blog/how-to-pray-54-day-novena/</x:v>
      </x:c>
      <x:c r="O280" s="115" t="e">
        <x:f>HYPERLINK("https://bible.usccb.org/bible/readings/100626.cfm","Open official USCCB readings ↗")</x:f>
        <x:v>HYPERLINK is not implemented. linkLocation=https://bible.usccb.org/bible/readings/100626.cfm, friendlyName=Open official USCCB readings ↗</x:v>
      </x:c>
    </x:row>
    <x:row r="281">
      <x:c r="A281" s="40" t="n">
        <x:v>46302</x:v>
      </x:c>
      <x:c r="B281" s="41" t="str">
        <x:v>Wednesday</x:v>
      </x:c>
      <x:c r="C281" s="60" t="str">
        <x:v>Ordinary Time</x:v>
      </x:c>
      <x:c r="D281" s="41" t="str">
        <x:v>Our Lady of the Rosary</x:v>
      </x:c>
      <x:c r="E281" s="41" t="str">
        <x:v>Memorial</x:v>
      </x:c>
      <x:c r="F281" s="48" t="str">
        <x:v>Our Lady of the Rosary [Memorial]</x:v>
      </x:c>
      <x:c r="G281" s="42" t="str">
        <x:v>🌹 📿 🙏</x:v>
      </x:c>
      <x:c r="H281" s="42" t="str"/>
      <x:c r="I281" s="54" t="str">
        <x:v>📿 54-Day Rosary Novena — Day 54/54 [END] — popular Assumption-to-Our-Lady-of-the-Rosary alignment</x:v>
      </x:c>
      <x:c r="J281" s="42" t="str"/>
      <x:c r="K281" s="42" t="str"/>
      <x:c r="L281" s="42" t="str"/>
      <x:c r="M281" s="42" t="str"/>
      <x:c r="N281" s="42" t="str">
        <x:v>https://www.usccb.org/resources/2026cal.pdf
https://hallow.com/blog/how-to-pray-54-day-novena/</x:v>
      </x:c>
      <x:c r="O281" s="115" t="e">
        <x:f>HYPERLINK("https://bible.usccb.org/bible/readings/100726.cfm","Open official USCCB readings ↗")</x:f>
        <x:v>HYPERLINK is not implemented. linkLocation=https://bible.usccb.org/bible/readings/100726.cfm, friendlyName=Open official USCCB readings ↗</x:v>
      </x:c>
    </x:row>
    <x:row r="282">
      <x:c r="A282" s="40" t="n">
        <x:v>46303</x:v>
      </x:c>
      <x:c r="B282" s="41" t="str">
        <x:v>Thursday</x:v>
      </x:c>
      <x:c r="C282" s="60" t="str">
        <x:v>Ordinary Time</x:v>
      </x:c>
      <x:c r="D282" s="41" t="str">
        <x:v>Weekday in Ordinary Time</x:v>
      </x:c>
      <x:c r="E282" s="41" t="str">
        <x:v>Weekday</x:v>
      </x:c>
      <x:c r="F282" s="42" t="str"/>
      <x:c r="G282" s="42" t="str"/>
      <x:c r="H282" s="42" t="str"/>
      <x:c r="I282" s="42" t="str"/>
      <x:c r="J282" s="42" t="str"/>
      <x:c r="K282" s="42" t="str"/>
      <x:c r="L282" s="42" t="str"/>
      <x:c r="M282" s="42" t="str"/>
      <x:c r="N282" s="42" t="str">
        <x:v>https://www.usccb.org/resources/2026cal.pdf</x:v>
      </x:c>
      <x:c r="O282" s="115" t="e">
        <x:f>HYPERLINK("https://bible.usccb.org/bible/readings/100826.cfm","Open official USCCB readings ↗")</x:f>
        <x:v>HYPERLINK is not implemented. linkLocation=https://bible.usccb.org/bible/readings/100826.cfm, friendlyName=Open official USCCB readings ↗</x:v>
      </x:c>
    </x:row>
    <x:row r="283">
      <x:c r="A283" s="40" t="n">
        <x:v>46304</x:v>
      </x:c>
      <x:c r="B283" s="41" t="str">
        <x:v>Friday</x:v>
      </x:c>
      <x:c r="C283" s="60" t="str">
        <x:v>Ordinary Time</x:v>
      </x:c>
      <x:c r="D283" s="41" t="str">
        <x:v>Weekday in Ordinary Time</x:v>
      </x:c>
      <x:c r="E283" s="41" t="str">
        <x:v>Weekday</x:v>
      </x:c>
      <x:c r="F283" s="42" t="str">
        <x:v>Saint Denis and Companions; Saint John Leonardi; Saint John Henry Newman [Optional Memorial]</x:v>
      </x:c>
      <x:c r="G283" s="42" t="str">
        <x:v>✦ Ⓟ</x:v>
      </x:c>
      <x:c r="H283" s="42" t="str"/>
      <x:c r="I283" s="42" t="str"/>
      <x:c r="J283" s="56" t="str">
        <x:v>Friday penance — outside Lent, U.S. Catholics may choose an appropriate penitential practice</x:v>
      </x:c>
      <x:c r="K283" s="42" t="str"/>
      <x:c r="L283" s="42" t="str"/>
      <x:c r="M283" s="42" t="str"/>
      <x:c r="N283" s="42" t="str">
        <x:v>https://www.usccb.org/resources/2026cal.pdf
https://www.usccb.org/prayer-and-worship/liturgical-year-and-calendar/lent/catholic-information-on-lenten-fast-and-abstinence</x:v>
      </x:c>
      <x:c r="O283" s="115" t="e">
        <x:f>HYPERLINK("https://bible.usccb.org/bible/readings/100926.cfm","Open official USCCB readings ↗")</x:f>
        <x:v>HYPERLINK is not implemented. linkLocation=https://bible.usccb.org/bible/readings/100926.cfm, friendlyName=Open official USCCB readings ↗</x:v>
      </x:c>
    </x:row>
    <x:row r="284">
      <x:c r="A284" s="40" t="n">
        <x:v>46305</x:v>
      </x:c>
      <x:c r="B284" s="41" t="str">
        <x:v>Saturday</x:v>
      </x:c>
      <x:c r="C284" s="60" t="str">
        <x:v>Ordinary Time</x:v>
      </x:c>
      <x:c r="D284" s="41" t="str">
        <x:v>Weekday in Ordinary Time</x:v>
      </x:c>
      <x:c r="E284" s="41" t="str">
        <x:v>Weekday</x:v>
      </x:c>
      <x:c r="F284" s="42" t="str"/>
      <x:c r="G284" s="42" t="str"/>
      <x:c r="H284" s="42" t="str"/>
      <x:c r="I284" s="42" t="str"/>
      <x:c r="J284" s="42" t="str"/>
      <x:c r="K284" s="42" t="str"/>
      <x:c r="L284" s="42" t="str"/>
      <x:c r="M284" s="42" t="str"/>
      <x:c r="N284" s="42" t="str">
        <x:v>https://www.usccb.org/resources/2026cal.pdf</x:v>
      </x:c>
      <x:c r="O284" s="115" t="e">
        <x:f>HYPERLINK("https://bible.usccb.org/bible/readings/101026.cfm","Open official USCCB readings ↗")</x:f>
        <x:v>HYPERLINK is not implemented. linkLocation=https://bible.usccb.org/bible/readings/101026.cfm, friendlyName=Open official USCCB readings ↗</x:v>
      </x:c>
    </x:row>
    <x:row r="285">
      <x:c r="A285" s="40" t="n">
        <x:v>46306</x:v>
      </x:c>
      <x:c r="B285" s="41" t="str">
        <x:v>Sunday</x:v>
      </x:c>
      <x:c r="C285" s="60" t="str">
        <x:v>Ordinary Time</x:v>
      </x:c>
      <x:c r="D285" s="41" t="str">
        <x:v>Twenty-Eighth Sunday in Ordinary Time</x:v>
      </x:c>
      <x:c r="E285" s="41" t="str">
        <x:v>Sunday</x:v>
      </x:c>
      <x:c r="F285" s="42" t="str">
        <x:v>Saint John XXIII [Optional Memorial]</x:v>
      </x:c>
      <x:c r="G285" s="42" t="str">
        <x:v>✦ ⛪</x:v>
      </x:c>
      <x:c r="H285" s="52" t="str">
        <x:v>⛪ Sunday Mass obligation</x:v>
      </x:c>
      <x:c r="I285" s="42" t="str"/>
      <x:c r="J285" s="42" t="str"/>
      <x:c r="K285" s="42" t="str"/>
      <x:c r="L285" s="42" t="str"/>
      <x:c r="M285" s="42" t="str">
        <x:v>A fixed observance also falls today, but the Sunday or higher-ranking celebration takes liturgical precedence.</x:v>
      </x:c>
      <x:c r="N285" s="42" t="str">
        <x:v>https://www.usccb.org/resources/2026cal.pdf
https://www.usccb.org/beliefs-and-teachings/what-we-believe/canon-law/complementary-norms/canon-1246</x:v>
      </x:c>
      <x:c r="O285" s="115" t="e">
        <x:f>HYPERLINK("https://bible.usccb.org/bible/readings/101126.cfm","Open official USCCB readings ↗")</x:f>
        <x:v>HYPERLINK is not implemented. linkLocation=https://bible.usccb.org/bible/readings/101126.cfm, friendlyName=Open official USCCB readings ↗</x:v>
      </x:c>
    </x:row>
    <x:row r="286">
      <x:c r="A286" s="40" t="n">
        <x:v>46307</x:v>
      </x:c>
      <x:c r="B286" s="41" t="str">
        <x:v>Monday</x:v>
      </x:c>
      <x:c r="C286" s="60" t="str">
        <x:v>Ordinary Time</x:v>
      </x:c>
      <x:c r="D286" s="41" t="str">
        <x:v>Weekday in Ordinary Time</x:v>
      </x:c>
      <x:c r="E286" s="41" t="str">
        <x:v>Weekday</x:v>
      </x:c>
      <x:c r="F286" s="42" t="str"/>
      <x:c r="G286" s="42" t="str"/>
      <x:c r="H286" s="42" t="str"/>
      <x:c r="I286" s="42" t="str"/>
      <x:c r="J286" s="42" t="str"/>
      <x:c r="K286" s="42" t="str"/>
      <x:c r="L286" s="42" t="str"/>
      <x:c r="M286" s="42" t="str"/>
      <x:c r="N286" s="42" t="str">
        <x:v>https://www.usccb.org/resources/2026cal.pdf</x:v>
      </x:c>
      <x:c r="O286" s="115" t="e">
        <x:f>HYPERLINK("https://bible.usccb.org/bible/readings/101226.cfm","Open official USCCB readings ↗")</x:f>
        <x:v>HYPERLINK is not implemented. linkLocation=https://bible.usccb.org/bible/readings/101226.cfm, friendlyName=Open official USCCB readings ↗</x:v>
      </x:c>
    </x:row>
    <x:row r="287">
      <x:c r="A287" s="40" t="n">
        <x:v>46308</x:v>
      </x:c>
      <x:c r="B287" s="41" t="str">
        <x:v>Tuesday</x:v>
      </x:c>
      <x:c r="C287" s="60" t="str">
        <x:v>Ordinary Time</x:v>
      </x:c>
      <x:c r="D287" s="41" t="str">
        <x:v>Weekday in Ordinary Time</x:v>
      </x:c>
      <x:c r="E287" s="41" t="str">
        <x:v>Weekday</x:v>
      </x:c>
      <x:c r="F287" s="42" t="str"/>
      <x:c r="G287" s="42" t="str"/>
      <x:c r="H287" s="42" t="str"/>
      <x:c r="I287" s="42" t="str"/>
      <x:c r="J287" s="42" t="str"/>
      <x:c r="K287" s="42" t="str"/>
      <x:c r="L287" s="42" t="str"/>
      <x:c r="M287" s="42" t="str"/>
      <x:c r="N287" s="42" t="str">
        <x:v>https://www.usccb.org/resources/2026cal.pdf</x:v>
      </x:c>
      <x:c r="O287" s="115" t="e">
        <x:f>HYPERLINK("https://bible.usccb.org/bible/readings/101326.cfm","Open official USCCB readings ↗")</x:f>
        <x:v>HYPERLINK is not implemented. linkLocation=https://bible.usccb.org/bible/readings/101326.cfm, friendlyName=Open official USCCB readings ↗</x:v>
      </x:c>
    </x:row>
    <x:row r="288">
      <x:c r="A288" s="40" t="n">
        <x:v>46309</x:v>
      </x:c>
      <x:c r="B288" s="41" t="str">
        <x:v>Wednesday</x:v>
      </x:c>
      <x:c r="C288" s="60" t="str">
        <x:v>Ordinary Time</x:v>
      </x:c>
      <x:c r="D288" s="41" t="str">
        <x:v>Weekday in Ordinary Time</x:v>
      </x:c>
      <x:c r="E288" s="41" t="str">
        <x:v>Weekday</x:v>
      </x:c>
      <x:c r="F288" s="42" t="str">
        <x:v>Saint Callistus I [Optional Memorial]</x:v>
      </x:c>
      <x:c r="G288" s="42" t="str">
        <x:v>✦</x:v>
      </x:c>
      <x:c r="H288" s="42" t="str"/>
      <x:c r="I288" s="42" t="str"/>
      <x:c r="J288" s="42" t="str"/>
      <x:c r="K288" s="42" t="str"/>
      <x:c r="L288" s="42" t="str"/>
      <x:c r="M288" s="42" t="str"/>
      <x:c r="N288" s="42" t="str">
        <x:v>https://www.usccb.org/resources/2026cal.pdf</x:v>
      </x:c>
      <x:c r="O288" s="115" t="e">
        <x:f>HYPERLINK("https://bible.usccb.org/bible/readings/101426.cfm","Open official USCCB readings ↗")</x:f>
        <x:v>HYPERLINK is not implemented. linkLocation=https://bible.usccb.org/bible/readings/101426.cfm, friendlyName=Open official USCCB readings ↗</x:v>
      </x:c>
    </x:row>
    <x:row r="289">
      <x:c r="A289" s="40" t="n">
        <x:v>46310</x:v>
      </x:c>
      <x:c r="B289" s="41" t="str">
        <x:v>Thursday</x:v>
      </x:c>
      <x:c r="C289" s="60" t="str">
        <x:v>Ordinary Time</x:v>
      </x:c>
      <x:c r="D289" s="41" t="str">
        <x:v>Saint Teresa of Jesus (Ávila)</x:v>
      </x:c>
      <x:c r="E289" s="41" t="str">
        <x:v>Memorial</x:v>
      </x:c>
      <x:c r="F289" s="42" t="str">
        <x:v>Saint Teresa of Jesus (Ávila) [Memorial]</x:v>
      </x:c>
      <x:c r="G289" s="42" t="str">
        <x:v>✦</x:v>
      </x:c>
      <x:c r="H289" s="42" t="str"/>
      <x:c r="I289" s="42" t="str"/>
      <x:c r="J289" s="42" t="str"/>
      <x:c r="K289" s="42" t="str"/>
      <x:c r="L289" s="42" t="str"/>
      <x:c r="M289" s="42" t="str"/>
      <x:c r="N289" s="42" t="str">
        <x:v>https://www.usccb.org/resources/2026cal.pdf</x:v>
      </x:c>
      <x:c r="O289" s="115" t="e">
        <x:f>HYPERLINK("https://bible.usccb.org/bible/readings/101526.cfm","Open official USCCB readings ↗")</x:f>
        <x:v>HYPERLINK is not implemented. linkLocation=https://bible.usccb.org/bible/readings/101526.cfm, friendlyName=Open official USCCB readings ↗</x:v>
      </x:c>
    </x:row>
    <x:row r="290">
      <x:c r="A290" s="40" t="n">
        <x:v>46311</x:v>
      </x:c>
      <x:c r="B290" s="41" t="str">
        <x:v>Friday</x:v>
      </x:c>
      <x:c r="C290" s="60" t="str">
        <x:v>Ordinary Time</x:v>
      </x:c>
      <x:c r="D290" s="41" t="str">
        <x:v>Weekday in Ordinary Time</x:v>
      </x:c>
      <x:c r="E290" s="41" t="str">
        <x:v>Weekday</x:v>
      </x:c>
      <x:c r="F290" s="42" t="str">
        <x:v>Saint Hedwig; Saint Margaret Mary Alacoque [Optional Memorial]</x:v>
      </x:c>
      <x:c r="G290" s="42" t="str">
        <x:v>✦ Ⓟ</x:v>
      </x:c>
      <x:c r="H290" s="42" t="str"/>
      <x:c r="I290" s="42" t="str"/>
      <x:c r="J290" s="56" t="str">
        <x:v>Friday penance — outside Lent, U.S. Catholics may choose an appropriate penitential practice</x:v>
      </x:c>
      <x:c r="K290" s="42" t="str"/>
      <x:c r="L290" s="42" t="str"/>
      <x:c r="M290" s="42" t="str"/>
      <x:c r="N290" s="42" t="str">
        <x:v>https://www.usccb.org/resources/2026cal.pdf
https://www.usccb.org/prayer-and-worship/liturgical-year-and-calendar/lent/catholic-information-on-lenten-fast-and-abstinence</x:v>
      </x:c>
      <x:c r="O290" s="115" t="e">
        <x:f>HYPERLINK("https://bible.usccb.org/bible/readings/101626.cfm","Open official USCCB readings ↗")</x:f>
        <x:v>HYPERLINK is not implemented. linkLocation=https://bible.usccb.org/bible/readings/101626.cfm, friendlyName=Open official USCCB readings ↗</x:v>
      </x:c>
    </x:row>
    <x:row r="291">
      <x:c r="A291" s="40" t="n">
        <x:v>46312</x:v>
      </x:c>
      <x:c r="B291" s="41" t="str">
        <x:v>Saturday</x:v>
      </x:c>
      <x:c r="C291" s="60" t="str">
        <x:v>Ordinary Time</x:v>
      </x:c>
      <x:c r="D291" s="41" t="str">
        <x:v>Saint Ignatius of Antioch</x:v>
      </x:c>
      <x:c r="E291" s="41" t="str">
        <x:v>Memorial</x:v>
      </x:c>
      <x:c r="F291" s="42" t="str">
        <x:v>Saint Ignatius of Antioch [Memorial]</x:v>
      </x:c>
      <x:c r="G291" s="42" t="str">
        <x:v>✦</x:v>
      </x:c>
      <x:c r="H291" s="42" t="str"/>
      <x:c r="I291" s="42" t="str"/>
      <x:c r="J291" s="42" t="str"/>
      <x:c r="K291" s="42" t="str"/>
      <x:c r="L291" s="42" t="str"/>
      <x:c r="M291" s="42" t="str"/>
      <x:c r="N291" s="42" t="str">
        <x:v>https://www.usccb.org/resources/2026cal.pdf</x:v>
      </x:c>
      <x:c r="O291" s="115" t="e">
        <x:f>HYPERLINK("https://bible.usccb.org/bible/readings/101726.cfm","Open official USCCB readings ↗")</x:f>
        <x:v>HYPERLINK is not implemented. linkLocation=https://bible.usccb.org/bible/readings/101726.cfm, friendlyName=Open official USCCB readings ↗</x:v>
      </x:c>
    </x:row>
    <x:row r="292">
      <x:c r="A292" s="40" t="n">
        <x:v>46313</x:v>
      </x:c>
      <x:c r="B292" s="41" t="str">
        <x:v>Sunday</x:v>
      </x:c>
      <x:c r="C292" s="60" t="str">
        <x:v>Ordinary Time</x:v>
      </x:c>
      <x:c r="D292" s="41" t="str">
        <x:v>Twenty-Ninth Sunday in Ordinary Time</x:v>
      </x:c>
      <x:c r="E292" s="41" t="str">
        <x:v>Sunday</x:v>
      </x:c>
      <x:c r="F292" s="42" t="str">
        <x:v>Saint Luke, Evangelist [Feast]</x:v>
      </x:c>
      <x:c r="G292" s="42" t="str">
        <x:v>★ ✦ ⛪</x:v>
      </x:c>
      <x:c r="H292" s="52" t="str">
        <x:v>⛪ Sunday Mass obligation</x:v>
      </x:c>
      <x:c r="I292" s="42" t="str"/>
      <x:c r="J292" s="42" t="str"/>
      <x:c r="K292" s="42" t="str"/>
      <x:c r="L292" s="42" t="str"/>
      <x:c r="M292" s="42" t="str">
        <x:v>A fixed observance also falls today, but the Sunday or higher-ranking celebration takes liturgical precedence.</x:v>
      </x:c>
      <x:c r="N292" s="42" t="str">
        <x:v>https://www.usccb.org/resources/2026cal.pdf
https://www.usccb.org/beliefs-and-teachings/what-we-believe/canon-law/complementary-norms/canon-1246</x:v>
      </x:c>
      <x:c r="O292" s="115" t="e">
        <x:f>HYPERLINK("https://bible.usccb.org/bible/readings/101826.cfm","Open official USCCB readings ↗")</x:f>
        <x:v>HYPERLINK is not implemented. linkLocation=https://bible.usccb.org/bible/readings/101826.cfm, friendlyName=Open official USCCB readings ↗</x:v>
      </x:c>
    </x:row>
    <x:row r="293">
      <x:c r="A293" s="40" t="n">
        <x:v>46314</x:v>
      </x:c>
      <x:c r="B293" s="41" t="str">
        <x:v>Monday</x:v>
      </x:c>
      <x:c r="C293" s="60" t="str">
        <x:v>Ordinary Time</x:v>
      </x:c>
      <x:c r="D293" s="41" t="str">
        <x:v>Saints John de Brébeuf, Isaac Jogues and Companions</x:v>
      </x:c>
      <x:c r="E293" s="41" t="str">
        <x:v>Memorial</x:v>
      </x:c>
      <x:c r="F293" s="42" t="str">
        <x:v>Saints John de Brébeuf, Isaac Jogues and Companions [Memorial]</x:v>
      </x:c>
      <x:c r="G293" s="42" t="str">
        <x:v>✦</x:v>
      </x:c>
      <x:c r="H293" s="42" t="str"/>
      <x:c r="I293" s="42" t="str"/>
      <x:c r="J293" s="42" t="str"/>
      <x:c r="K293" s="42" t="str"/>
      <x:c r="L293" s="42" t="str"/>
      <x:c r="M293" s="42" t="str"/>
      <x:c r="N293" s="42" t="str">
        <x:v>https://www.usccb.org/resources/2026cal.pdf</x:v>
      </x:c>
      <x:c r="O293" s="115" t="e">
        <x:f>HYPERLINK("https://bible.usccb.org/bible/readings/101926.cfm","Open official USCCB readings ↗")</x:f>
        <x:v>HYPERLINK is not implemented. linkLocation=https://bible.usccb.org/bible/readings/101926.cfm, friendlyName=Open official USCCB readings ↗</x:v>
      </x:c>
    </x:row>
    <x:row r="294">
      <x:c r="A294" s="40" t="n">
        <x:v>46315</x:v>
      </x:c>
      <x:c r="B294" s="41" t="str">
        <x:v>Tuesday</x:v>
      </x:c>
      <x:c r="C294" s="60" t="str">
        <x:v>Ordinary Time</x:v>
      </x:c>
      <x:c r="D294" s="41" t="str">
        <x:v>Weekday in Ordinary Time</x:v>
      </x:c>
      <x:c r="E294" s="41" t="str">
        <x:v>Weekday</x:v>
      </x:c>
      <x:c r="F294" s="42" t="str">
        <x:v>Saint Paul of the Cross [Optional Memorial]</x:v>
      </x:c>
      <x:c r="G294" s="42" t="str">
        <x:v>✦</x:v>
      </x:c>
      <x:c r="H294" s="42" t="str"/>
      <x:c r="I294" s="42" t="str"/>
      <x:c r="J294" s="42" t="str"/>
      <x:c r="K294" s="42" t="str"/>
      <x:c r="L294" s="42" t="str"/>
      <x:c r="M294" s="42" t="str"/>
      <x:c r="N294" s="42" t="str">
        <x:v>https://www.usccb.org/resources/2026cal.pdf</x:v>
      </x:c>
      <x:c r="O294" s="115" t="e">
        <x:f>HYPERLINK("https://bible.usccb.org/bible/readings/102026.cfm","Open official USCCB readings ↗")</x:f>
        <x:v>HYPERLINK is not implemented. linkLocation=https://bible.usccb.org/bible/readings/102026.cfm, friendlyName=Open official USCCB readings ↗</x:v>
      </x:c>
    </x:row>
    <x:row r="295">
      <x:c r="A295" s="40" t="n">
        <x:v>46316</x:v>
      </x:c>
      <x:c r="B295" s="41" t="str">
        <x:v>Wednesday</x:v>
      </x:c>
      <x:c r="C295" s="60" t="str">
        <x:v>Ordinary Time</x:v>
      </x:c>
      <x:c r="D295" s="41" t="str">
        <x:v>Weekday in Ordinary Time</x:v>
      </x:c>
      <x:c r="E295" s="41" t="str">
        <x:v>Weekday</x:v>
      </x:c>
      <x:c r="F295" s="42" t="str"/>
      <x:c r="G295" s="42" t="str"/>
      <x:c r="H295" s="42" t="str"/>
      <x:c r="I295" s="42" t="str"/>
      <x:c r="J295" s="42" t="str"/>
      <x:c r="K295" s="42" t="str"/>
      <x:c r="L295" s="42" t="str"/>
      <x:c r="M295" s="42" t="str"/>
      <x:c r="N295" s="42" t="str">
        <x:v>https://www.usccb.org/resources/2026cal.pdf</x:v>
      </x:c>
      <x:c r="O295" s="115" t="e">
        <x:f>HYPERLINK("https://bible.usccb.org/bible/readings/102126.cfm","Open official USCCB readings ↗")</x:f>
        <x:v>HYPERLINK is not implemented. linkLocation=https://bible.usccb.org/bible/readings/102126.cfm, friendlyName=Open official USCCB readings ↗</x:v>
      </x:c>
    </x:row>
    <x:row r="296">
      <x:c r="A296" s="40" t="n">
        <x:v>46317</x:v>
      </x:c>
      <x:c r="B296" s="41" t="str">
        <x:v>Thursday</x:v>
      </x:c>
      <x:c r="C296" s="60" t="str">
        <x:v>Ordinary Time</x:v>
      </x:c>
      <x:c r="D296" s="41" t="str">
        <x:v>Weekday in Ordinary Time</x:v>
      </x:c>
      <x:c r="E296" s="41" t="str">
        <x:v>Weekday</x:v>
      </x:c>
      <x:c r="F296" s="42" t="str">
        <x:v>Saint John Paul II [Optional Memorial]</x:v>
      </x:c>
      <x:c r="G296" s="42" t="str">
        <x:v>✦</x:v>
      </x:c>
      <x:c r="H296" s="42" t="str"/>
      <x:c r="I296" s="42" t="str"/>
      <x:c r="J296" s="42" t="str"/>
      <x:c r="K296" s="42" t="str"/>
      <x:c r="L296" s="42" t="str"/>
      <x:c r="M296" s="42" t="str"/>
      <x:c r="N296" s="42" t="str">
        <x:v>https://www.usccb.org/resources/2026cal.pdf</x:v>
      </x:c>
      <x:c r="O296" s="115" t="e">
        <x:f>HYPERLINK("https://bible.usccb.org/bible/readings/102226.cfm","Open official USCCB readings ↗")</x:f>
        <x:v>HYPERLINK is not implemented. linkLocation=https://bible.usccb.org/bible/readings/102226.cfm, friendlyName=Open official USCCB readings ↗</x:v>
      </x:c>
    </x:row>
    <x:row r="297">
      <x:c r="A297" s="40" t="n">
        <x:v>46318</x:v>
      </x:c>
      <x:c r="B297" s="41" t="str">
        <x:v>Friday</x:v>
      </x:c>
      <x:c r="C297" s="60" t="str">
        <x:v>Ordinary Time</x:v>
      </x:c>
      <x:c r="D297" s="41" t="str">
        <x:v>Weekday in Ordinary Time</x:v>
      </x:c>
      <x:c r="E297" s="41" t="str">
        <x:v>Weekday</x:v>
      </x:c>
      <x:c r="F297" s="42" t="str">
        <x:v>Saint John of Capistrano [Optional Memorial]</x:v>
      </x:c>
      <x:c r="G297" s="42" t="str">
        <x:v>✦ Ⓟ</x:v>
      </x:c>
      <x:c r="H297" s="42" t="str"/>
      <x:c r="I297" s="42" t="str"/>
      <x:c r="J297" s="56" t="str">
        <x:v>Friday penance — outside Lent, U.S. Catholics may choose an appropriate penitential practice</x:v>
      </x:c>
      <x:c r="K297" s="42" t="str"/>
      <x:c r="L297" s="42" t="str"/>
      <x:c r="M297" s="42" t="str"/>
      <x:c r="N297" s="42" t="str">
        <x:v>https://www.usccb.org/resources/2026cal.pdf
https://www.usccb.org/prayer-and-worship/liturgical-year-and-calendar/lent/catholic-information-on-lenten-fast-and-abstinence</x:v>
      </x:c>
      <x:c r="O297" s="115" t="e">
        <x:f>HYPERLINK("https://bible.usccb.org/bible/readings/102326.cfm","Open official USCCB readings ↗")</x:f>
        <x:v>HYPERLINK is not implemented. linkLocation=https://bible.usccb.org/bible/readings/102326.cfm, friendlyName=Open official USCCB readings ↗</x:v>
      </x:c>
    </x:row>
    <x:row r="298">
      <x:c r="A298" s="40" t="n">
        <x:v>46319</x:v>
      </x:c>
      <x:c r="B298" s="41" t="str">
        <x:v>Saturday</x:v>
      </x:c>
      <x:c r="C298" s="60" t="str">
        <x:v>Ordinary Time</x:v>
      </x:c>
      <x:c r="D298" s="41" t="str">
        <x:v>Weekday in Ordinary Time</x:v>
      </x:c>
      <x:c r="E298" s="41" t="str">
        <x:v>Weekday</x:v>
      </x:c>
      <x:c r="F298" s="42" t="str">
        <x:v>Saint Anthony Mary Claret [Optional Memorial]</x:v>
      </x:c>
      <x:c r="G298" s="42" t="str">
        <x:v>✦</x:v>
      </x:c>
      <x:c r="H298" s="42" t="str"/>
      <x:c r="I298" s="42" t="str"/>
      <x:c r="J298" s="42" t="str"/>
      <x:c r="K298" s="42" t="str"/>
      <x:c r="L298" s="42" t="str"/>
      <x:c r="M298" s="42" t="str"/>
      <x:c r="N298" s="42" t="str">
        <x:v>https://www.usccb.org/resources/2026cal.pdf</x:v>
      </x:c>
      <x:c r="O298" s="115" t="e">
        <x:f>HYPERLINK("https://bible.usccb.org/bible/readings/102426.cfm","Open official USCCB readings ↗")</x:f>
        <x:v>HYPERLINK is not implemented. linkLocation=https://bible.usccb.org/bible/readings/102426.cfm, friendlyName=Open official USCCB readings ↗</x:v>
      </x:c>
    </x:row>
    <x:row r="299">
      <x:c r="A299" s="40" t="n">
        <x:v>46320</x:v>
      </x:c>
      <x:c r="B299" s="41" t="str">
        <x:v>Sunday</x:v>
      </x:c>
      <x:c r="C299" s="60" t="str">
        <x:v>Ordinary Time</x:v>
      </x:c>
      <x:c r="D299" s="41" t="str">
        <x:v>Thirtieth Sunday in Ordinary Time</x:v>
      </x:c>
      <x:c r="E299" s="41" t="str">
        <x:v>Sunday</x:v>
      </x:c>
      <x:c r="F299" s="42" t="str"/>
      <x:c r="G299" s="42" t="str">
        <x:v>⛪</x:v>
      </x:c>
      <x:c r="H299" s="52" t="str">
        <x:v>⛪ Sunday Mass obligation</x:v>
      </x:c>
      <x:c r="I299" s="42" t="str"/>
      <x:c r="J299" s="42" t="str"/>
      <x:c r="K299" s="42" t="str"/>
      <x:c r="L299" s="42" t="str"/>
      <x:c r="M299" s="42" t="str"/>
      <x:c r="N299" s="42" t="str">
        <x:v>https://www.usccb.org/resources/2026cal.pdf
https://www.usccb.org/beliefs-and-teachings/what-we-believe/canon-law/complementary-norms/canon-1246</x:v>
      </x:c>
      <x:c r="O299" s="115" t="e">
        <x:f>HYPERLINK("https://bible.usccb.org/bible/readings/102526.cfm","Open official USCCB readings ↗")</x:f>
        <x:v>HYPERLINK is not implemented. linkLocation=https://bible.usccb.org/bible/readings/102526.cfm, friendlyName=Open official USCCB readings ↗</x:v>
      </x:c>
    </x:row>
    <x:row r="300">
      <x:c r="A300" s="40" t="n">
        <x:v>46321</x:v>
      </x:c>
      <x:c r="B300" s="41" t="str">
        <x:v>Monday</x:v>
      </x:c>
      <x:c r="C300" s="60" t="str">
        <x:v>Ordinary Time</x:v>
      </x:c>
      <x:c r="D300" s="41" t="str">
        <x:v>Weekday in Ordinary Time</x:v>
      </x:c>
      <x:c r="E300" s="41" t="str">
        <x:v>Weekday</x:v>
      </x:c>
      <x:c r="F300" s="42" t="str"/>
      <x:c r="G300" s="42" t="str"/>
      <x:c r="H300" s="42" t="str"/>
      <x:c r="I300" s="42" t="str"/>
      <x:c r="J300" s="42" t="str"/>
      <x:c r="K300" s="42" t="str"/>
      <x:c r="L300" s="42" t="str"/>
      <x:c r="M300" s="42" t="str"/>
      <x:c r="N300" s="42" t="str">
        <x:v>https://www.usccb.org/resources/2026cal.pdf</x:v>
      </x:c>
      <x:c r="O300" s="115" t="e">
        <x:f>HYPERLINK("https://bible.usccb.org/bible/readings/102626.cfm","Open official USCCB readings ↗")</x:f>
        <x:v>HYPERLINK is not implemented. linkLocation=https://bible.usccb.org/bible/readings/102626.cfm, friendlyName=Open official USCCB readings ↗</x:v>
      </x:c>
    </x:row>
    <x:row r="301">
      <x:c r="A301" s="40" t="n">
        <x:v>46322</x:v>
      </x:c>
      <x:c r="B301" s="41" t="str">
        <x:v>Tuesday</x:v>
      </x:c>
      <x:c r="C301" s="60" t="str">
        <x:v>Ordinary Time</x:v>
      </x:c>
      <x:c r="D301" s="41" t="str">
        <x:v>Weekday in Ordinary Time</x:v>
      </x:c>
      <x:c r="E301" s="41" t="str">
        <x:v>Weekday</x:v>
      </x:c>
      <x:c r="F301" s="42" t="str"/>
      <x:c r="G301" s="42" t="str"/>
      <x:c r="H301" s="42" t="str"/>
      <x:c r="I301" s="42" t="str"/>
      <x:c r="J301" s="42" t="str"/>
      <x:c r="K301" s="42" t="str"/>
      <x:c r="L301" s="42" t="str"/>
      <x:c r="M301" s="42" t="str"/>
      <x:c r="N301" s="42" t="str">
        <x:v>https://www.usccb.org/resources/2026cal.pdf</x:v>
      </x:c>
      <x:c r="O301" s="115" t="e">
        <x:f>HYPERLINK("https://bible.usccb.org/bible/readings/102726.cfm","Open official USCCB readings ↗")</x:f>
        <x:v>HYPERLINK is not implemented. linkLocation=https://bible.usccb.org/bible/readings/102726.cfm, friendlyName=Open official USCCB readings ↗</x:v>
      </x:c>
    </x:row>
    <x:row r="302">
      <x:c r="A302" s="40" t="n">
        <x:v>46323</x:v>
      </x:c>
      <x:c r="B302" s="41" t="str">
        <x:v>Wednesday</x:v>
      </x:c>
      <x:c r="C302" s="60" t="str">
        <x:v>Ordinary Time</x:v>
      </x:c>
      <x:c r="D302" s="41" t="str">
        <x:v>Saints Simon and Jude, Apostles</x:v>
      </x:c>
      <x:c r="E302" s="41" t="str">
        <x:v>Feast</x:v>
      </x:c>
      <x:c r="F302" s="42" t="str">
        <x:v>Saints Simon and Jude, Apostles [Feast]</x:v>
      </x:c>
      <x:c r="G302" s="42" t="str">
        <x:v>★ ✦</x:v>
      </x:c>
      <x:c r="H302" s="42" t="str"/>
      <x:c r="I302" s="42" t="str"/>
      <x:c r="J302" s="42" t="str"/>
      <x:c r="K302" s="42" t="str"/>
      <x:c r="L302" s="42" t="str"/>
      <x:c r="M302" s="42" t="str"/>
      <x:c r="N302" s="42" t="str">
        <x:v>https://www.usccb.org/resources/2026cal.pdf</x:v>
      </x:c>
      <x:c r="O302" s="115" t="e">
        <x:f>HYPERLINK("https://bible.usccb.org/bible/readings/102826.cfm","Open official USCCB readings ↗")</x:f>
        <x:v>HYPERLINK is not implemented. linkLocation=https://bible.usccb.org/bible/readings/102826.cfm, friendlyName=Open official USCCB readings ↗</x:v>
      </x:c>
    </x:row>
    <x:row r="303">
      <x:c r="A303" s="40" t="n">
        <x:v>46324</x:v>
      </x:c>
      <x:c r="B303" s="41" t="str">
        <x:v>Thursday</x:v>
      </x:c>
      <x:c r="C303" s="60" t="str">
        <x:v>Ordinary Time</x:v>
      </x:c>
      <x:c r="D303" s="41" t="str">
        <x:v>Weekday in Ordinary Time</x:v>
      </x:c>
      <x:c r="E303" s="41" t="str">
        <x:v>Weekday</x:v>
      </x:c>
      <x:c r="F303" s="42" t="str"/>
      <x:c r="G303" s="42" t="str"/>
      <x:c r="H303" s="42" t="str"/>
      <x:c r="I303" s="42" t="str"/>
      <x:c r="J303" s="42" t="str"/>
      <x:c r="K303" s="42" t="str"/>
      <x:c r="L303" s="42" t="str"/>
      <x:c r="M303" s="42" t="str"/>
      <x:c r="N303" s="42" t="str">
        <x:v>https://www.usccb.org/resources/2026cal.pdf</x:v>
      </x:c>
      <x:c r="O303" s="115" t="e">
        <x:f>HYPERLINK("https://bible.usccb.org/bible/readings/102926.cfm","Open official USCCB readings ↗")</x:f>
        <x:v>HYPERLINK is not implemented. linkLocation=https://bible.usccb.org/bible/readings/102926.cfm, friendlyName=Open official USCCB readings ↗</x:v>
      </x:c>
    </x:row>
    <x:row r="304">
      <x:c r="A304" s="40" t="n">
        <x:v>46325</x:v>
      </x:c>
      <x:c r="B304" s="41" t="str">
        <x:v>Friday</x:v>
      </x:c>
      <x:c r="C304" s="60" t="str">
        <x:v>Ordinary Time</x:v>
      </x:c>
      <x:c r="D304" s="41" t="str">
        <x:v>Weekday in Ordinary Time</x:v>
      </x:c>
      <x:c r="E304" s="41" t="str">
        <x:v>Weekday</x:v>
      </x:c>
      <x:c r="F304" s="42" t="str"/>
      <x:c r="G304" s="42" t="str">
        <x:v>Ⓟ</x:v>
      </x:c>
      <x:c r="H304" s="42" t="str"/>
      <x:c r="I304" s="42" t="str"/>
      <x:c r="J304" s="56" t="str">
        <x:v>Friday penance — outside Lent, U.S. Catholics may choose an appropriate penitential practice</x:v>
      </x:c>
      <x:c r="K304" s="42" t="str"/>
      <x:c r="L304" s="42" t="str"/>
      <x:c r="M304" s="42" t="str"/>
      <x:c r="N304" s="42" t="str">
        <x:v>https://www.usccb.org/resources/2026cal.pdf
https://www.usccb.org/prayer-and-worship/liturgical-year-and-calendar/lent/catholic-information-on-lenten-fast-and-abstinence</x:v>
      </x:c>
      <x:c r="O304" s="115" t="e">
        <x:f>HYPERLINK("https://bible.usccb.org/bible/readings/103026.cfm","Open official USCCB readings ↗")</x:f>
        <x:v>HYPERLINK is not implemented. linkLocation=https://bible.usccb.org/bible/readings/103026.cfm, friendlyName=Open official USCCB readings ↗</x:v>
      </x:c>
    </x:row>
    <x:row r="305">
      <x:c r="A305" s="40" t="n">
        <x:v>46326</x:v>
      </x:c>
      <x:c r="B305" s="41" t="str">
        <x:v>Saturday</x:v>
      </x:c>
      <x:c r="C305" s="60" t="str">
        <x:v>Ordinary Time</x:v>
      </x:c>
      <x:c r="D305" s="41" t="str">
        <x:v>Weekday in Ordinary Time</x:v>
      </x:c>
      <x:c r="E305" s="41" t="str">
        <x:v>Weekday</x:v>
      </x:c>
      <x:c r="F305" s="42" t="str"/>
      <x:c r="G305" s="42" t="str"/>
      <x:c r="H305" s="42" t="str"/>
      <x:c r="I305" s="42" t="str"/>
      <x:c r="J305" s="42" t="str"/>
      <x:c r="K305" s="42" t="str"/>
      <x:c r="L305" s="42" t="str"/>
      <x:c r="M305" s="42" t="str"/>
      <x:c r="N305" s="42" t="str">
        <x:v>https://www.usccb.org/resources/2026cal.pdf</x:v>
      </x:c>
      <x:c r="O305" s="115" t="e">
        <x:f>HYPERLINK("https://bible.usccb.org/bible/readings/103126.cfm","Open official USCCB readings ↗")</x:f>
        <x:v>HYPERLINK is not implemented. linkLocation=https://bible.usccb.org/bible/readings/103126.cfm, friendlyName=Open official USCCB readings ↗</x:v>
      </x:c>
    </x:row>
    <x:row r="306">
      <x:c r="A306" s="40" t="n">
        <x:v>46327</x:v>
      </x:c>
      <x:c r="B306" s="41" t="str">
        <x:v>Sunday</x:v>
      </x:c>
      <x:c r="C306" s="60" t="str">
        <x:v>Ordinary Time</x:v>
      </x:c>
      <x:c r="D306" s="41" t="str">
        <x:v>All Saints</x:v>
      </x:c>
      <x:c r="E306" s="41" t="str">
        <x:v>Solemnity</x:v>
      </x:c>
      <x:c r="F306" s="42" t="str">
        <x:v>All Saints [Solemnity]</x:v>
      </x:c>
      <x:c r="G306" s="42" t="str">
        <x:v>★ ✦ ⛪</x:v>
      </x:c>
      <x:c r="H306" s="52" t="str">
        <x:v>⛪ Sunday Mass obligation</x:v>
      </x:c>
      <x:c r="I306" s="42" t="str"/>
      <x:c r="J306" s="42" t="str"/>
      <x:c r="K306" s="42" t="str"/>
      <x:c r="L306" s="42" t="str"/>
      <x:c r="M306" s="42" t="str"/>
      <x:c r="N306" s="42" t="str">
        <x:v>https://www.usccb.org/resources/2026cal.pdf
https://www.usccb.org/beliefs-and-teachings/what-we-believe/canon-law/complementary-norms/canon-1246</x:v>
      </x:c>
      <x:c r="O306" s="115" t="e">
        <x:f>HYPERLINK("https://bible.usccb.org/bible/readings/110126.cfm","Open official USCCB readings ↗")</x:f>
        <x:v>HYPERLINK is not implemented. linkLocation=https://bible.usccb.org/bible/readings/110126.cfm, friendlyName=Open official USCCB readings ↗</x:v>
      </x:c>
    </x:row>
    <x:row r="307">
      <x:c r="A307" s="40" t="n">
        <x:v>46328</x:v>
      </x:c>
      <x:c r="B307" s="41" t="str">
        <x:v>Monday</x:v>
      </x:c>
      <x:c r="C307" s="60" t="str">
        <x:v>Ordinary Time</x:v>
      </x:c>
      <x:c r="D307" s="41" t="str">
        <x:v>Weekday in Ordinary Time</x:v>
      </x:c>
      <x:c r="E307" s="41" t="str">
        <x:v>Weekday</x:v>
      </x:c>
      <x:c r="F307" s="42" t="str">
        <x:v>Commemoration of All the Faithful Departed (All Souls) [Commemoration]</x:v>
      </x:c>
      <x:c r="G307" s="42" t="str">
        <x:v>🕯</x:v>
      </x:c>
      <x:c r="H307" s="42" t="str"/>
      <x:c r="I307" s="42" t="str"/>
      <x:c r="J307" s="42" t="str"/>
      <x:c r="K307" s="42" t="str"/>
      <x:c r="L307" s="42" t="str"/>
      <x:c r="M307" s="42" t="str"/>
      <x:c r="N307" s="42" t="str">
        <x:v>https://www.usccb.org/resources/2026cal.pdf</x:v>
      </x:c>
      <x:c r="O307" s="115" t="e">
        <x:f>HYPERLINK("https://bible.usccb.org/bible/readings/110226.cfm","Open official USCCB readings ↗")</x:f>
        <x:v>HYPERLINK is not implemented. linkLocation=https://bible.usccb.org/bible/readings/110226.cfm, friendlyName=Open official USCCB readings ↗</x:v>
      </x:c>
    </x:row>
    <x:row r="308">
      <x:c r="A308" s="40" t="n">
        <x:v>46329</x:v>
      </x:c>
      <x:c r="B308" s="41" t="str">
        <x:v>Tuesday</x:v>
      </x:c>
      <x:c r="C308" s="60" t="str">
        <x:v>Ordinary Time</x:v>
      </x:c>
      <x:c r="D308" s="41" t="str">
        <x:v>Weekday in Ordinary Time</x:v>
      </x:c>
      <x:c r="E308" s="41" t="str">
        <x:v>Weekday</x:v>
      </x:c>
      <x:c r="F308" s="42" t="str">
        <x:v>Saint Martin de Porres [Optional Memorial]</x:v>
      </x:c>
      <x:c r="G308" s="42" t="str">
        <x:v>✦</x:v>
      </x:c>
      <x:c r="H308" s="42" t="str"/>
      <x:c r="I308" s="42" t="str"/>
      <x:c r="J308" s="42" t="str"/>
      <x:c r="K308" s="42" t="str"/>
      <x:c r="L308" s="42" t="str"/>
      <x:c r="M308" s="42" t="str"/>
      <x:c r="N308" s="42" t="str">
        <x:v>https://www.usccb.org/resources/2026cal.pdf</x:v>
      </x:c>
      <x:c r="O308" s="115" t="e">
        <x:f>HYPERLINK("https://bible.usccb.org/bible/readings/110326.cfm","Open official USCCB readings ↗")</x:f>
        <x:v>HYPERLINK is not implemented. linkLocation=https://bible.usccb.org/bible/readings/110326.cfm, friendlyName=Open official USCCB readings ↗</x:v>
      </x:c>
    </x:row>
    <x:row r="309">
      <x:c r="A309" s="40" t="n">
        <x:v>46330</x:v>
      </x:c>
      <x:c r="B309" s="41" t="str">
        <x:v>Wednesday</x:v>
      </x:c>
      <x:c r="C309" s="60" t="str">
        <x:v>Ordinary Time</x:v>
      </x:c>
      <x:c r="D309" s="41" t="str">
        <x:v>Saint Charles Borromeo</x:v>
      </x:c>
      <x:c r="E309" s="41" t="str">
        <x:v>Memorial</x:v>
      </x:c>
      <x:c r="F309" s="42" t="str">
        <x:v>Saint Charles Borromeo [Memorial]</x:v>
      </x:c>
      <x:c r="G309" s="42" t="str">
        <x:v>✦</x:v>
      </x:c>
      <x:c r="H309" s="42" t="str"/>
      <x:c r="I309" s="42" t="str"/>
      <x:c r="J309" s="42" t="str"/>
      <x:c r="K309" s="42" t="str"/>
      <x:c r="L309" s="42" t="str"/>
      <x:c r="M309" s="42" t="str"/>
      <x:c r="N309" s="42" t="str">
        <x:v>https://www.usccb.org/resources/2026cal.pdf</x:v>
      </x:c>
      <x:c r="O309" s="115" t="e">
        <x:f>HYPERLINK("https://bible.usccb.org/bible/readings/110426.cfm","Open official USCCB readings ↗")</x:f>
        <x:v>HYPERLINK is not implemented. linkLocation=https://bible.usccb.org/bible/readings/110426.cfm, friendlyName=Open official USCCB readings ↗</x:v>
      </x:c>
    </x:row>
    <x:row r="310">
      <x:c r="A310" s="40" t="n">
        <x:v>46331</x:v>
      </x:c>
      <x:c r="B310" s="41" t="str">
        <x:v>Thursday</x:v>
      </x:c>
      <x:c r="C310" s="60" t="str">
        <x:v>Ordinary Time</x:v>
      </x:c>
      <x:c r="D310" s="41" t="str">
        <x:v>Weekday in Ordinary Time</x:v>
      </x:c>
      <x:c r="E310" s="41" t="str">
        <x:v>Weekday</x:v>
      </x:c>
      <x:c r="F310" s="42" t="str"/>
      <x:c r="G310" s="42" t="str"/>
      <x:c r="H310" s="42" t="str"/>
      <x:c r="I310" s="42" t="str"/>
      <x:c r="J310" s="42" t="str"/>
      <x:c r="K310" s="42" t="str"/>
      <x:c r="L310" s="42" t="str"/>
      <x:c r="M310" s="42" t="str"/>
      <x:c r="N310" s="42" t="str">
        <x:v>https://www.usccb.org/resources/2026cal.pdf</x:v>
      </x:c>
      <x:c r="O310" s="115" t="e">
        <x:f>HYPERLINK("https://bible.usccb.org/bible/readings/110526.cfm","Open official USCCB readings ↗")</x:f>
        <x:v>HYPERLINK is not implemented. linkLocation=https://bible.usccb.org/bible/readings/110526.cfm, friendlyName=Open official USCCB readings ↗</x:v>
      </x:c>
    </x:row>
    <x:row r="311">
      <x:c r="A311" s="40" t="n">
        <x:v>46332</x:v>
      </x:c>
      <x:c r="B311" s="41" t="str">
        <x:v>Friday</x:v>
      </x:c>
      <x:c r="C311" s="60" t="str">
        <x:v>Ordinary Time</x:v>
      </x:c>
      <x:c r="D311" s="41" t="str">
        <x:v>Weekday in Ordinary Time</x:v>
      </x:c>
      <x:c r="E311" s="41" t="str">
        <x:v>Weekday</x:v>
      </x:c>
      <x:c r="F311" s="42" t="str"/>
      <x:c r="G311" s="42" t="str">
        <x:v>🙏 Ⓟ</x:v>
      </x:c>
      <x:c r="H311" s="42" t="str"/>
      <x:c r="I311" s="54" t="str">
        <x:v>❤ First Friday — Sacred Heart devotion</x:v>
      </x:c>
      <x:c r="J311" s="56" t="str">
        <x:v>Friday penance — outside Lent, U.S. Catholics may choose an appropriate penitential practice</x:v>
      </x:c>
      <x:c r="K311" s="42" t="str"/>
      <x:c r="L311" s="42" t="str"/>
      <x:c r="M311" s="42" t="str"/>
      <x:c r="N311" s="42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311" s="115" t="e">
        <x:f>HYPERLINK("https://bible.usccb.org/bible/readings/110626.cfm","Open official USCCB readings ↗")</x:f>
        <x:v>HYPERLINK is not implemented. linkLocation=https://bible.usccb.org/bible/readings/110626.cfm, friendlyName=Open official USCCB readings ↗</x:v>
      </x:c>
    </x:row>
    <x:row r="312">
      <x:c r="A312" s="40" t="n">
        <x:v>46333</x:v>
      </x:c>
      <x:c r="B312" s="41" t="str">
        <x:v>Saturday</x:v>
      </x:c>
      <x:c r="C312" s="60" t="str">
        <x:v>Ordinary Time</x:v>
      </x:c>
      <x:c r="D312" s="41" t="str">
        <x:v>Weekday in Ordinary Time</x:v>
      </x:c>
      <x:c r="E312" s="41" t="str">
        <x:v>Weekday</x:v>
      </x:c>
      <x:c r="F312" s="48" t="str"/>
      <x:c r="G312" s="42" t="str">
        <x:v>🙏 🌹</x:v>
      </x:c>
      <x:c r="H312" s="42" t="str"/>
      <x:c r="I312" s="54" t="str">
        <x:v>🌹 First Saturday — Immaculate Heart devotion</x:v>
      </x:c>
      <x:c r="J312" s="42" t="str"/>
      <x:c r="K312" s="42" t="str"/>
      <x:c r="L312" s="42" t="str"/>
      <x:c r="M312" s="42" t="str"/>
      <x:c r="N312" s="42" t="str">
        <x:v>https://www.usccb.org/resources/2026cal.pdf
https://www.ewtn.com/catholicism/library/revelation-of-the-immaculate-heart-at-fatima-in-1917-5465</x:v>
      </x:c>
      <x:c r="O312" s="115" t="e">
        <x:f>HYPERLINK("https://bible.usccb.org/bible/readings/110726.cfm","Open official USCCB readings ↗")</x:f>
        <x:v>HYPERLINK is not implemented. linkLocation=https://bible.usccb.org/bible/readings/110726.cfm, friendlyName=Open official USCCB readings ↗</x:v>
      </x:c>
    </x:row>
    <x:row r="313">
      <x:c r="A313" s="40" t="n">
        <x:v>46334</x:v>
      </x:c>
      <x:c r="B313" s="41" t="str">
        <x:v>Sunday</x:v>
      </x:c>
      <x:c r="C313" s="60" t="str">
        <x:v>Ordinary Time</x:v>
      </x:c>
      <x:c r="D313" s="41" t="str">
        <x:v>Thirty-Second Sunday in Ordinary Time</x:v>
      </x:c>
      <x:c r="E313" s="41" t="str">
        <x:v>Sunday</x:v>
      </x:c>
      <x:c r="F313" s="42" t="str"/>
      <x:c r="G313" s="42" t="str">
        <x:v>⛪</x:v>
      </x:c>
      <x:c r="H313" s="52" t="str">
        <x:v>⛪ Sunday Mass obligation</x:v>
      </x:c>
      <x:c r="I313" s="42" t="str"/>
      <x:c r="J313" s="42" t="str"/>
      <x:c r="K313" s="42" t="str"/>
      <x:c r="L313" s="42" t="str"/>
      <x:c r="M313" s="42" t="str"/>
      <x:c r="N313" s="42" t="str">
        <x:v>https://www.usccb.org/resources/2026cal.pdf
https://www.usccb.org/beliefs-and-teachings/what-we-believe/canon-law/complementary-norms/canon-1246</x:v>
      </x:c>
      <x:c r="O313" s="115" t="e">
        <x:f>HYPERLINK("https://bible.usccb.org/bible/readings/110826.cfm","Open official USCCB readings ↗")</x:f>
        <x:v>HYPERLINK is not implemented. linkLocation=https://bible.usccb.org/bible/readings/110826.cfm, friendlyName=Open official USCCB readings ↗</x:v>
      </x:c>
    </x:row>
    <x:row r="314">
      <x:c r="A314" s="40" t="n">
        <x:v>46335</x:v>
      </x:c>
      <x:c r="B314" s="41" t="str">
        <x:v>Monday</x:v>
      </x:c>
      <x:c r="C314" s="60" t="str">
        <x:v>Ordinary Time</x:v>
      </x:c>
      <x:c r="D314" s="41" t="str">
        <x:v>Dedication of the Lateran Basilica</x:v>
      </x:c>
      <x:c r="E314" s="41" t="str">
        <x:v>Feast</x:v>
      </x:c>
      <x:c r="F314" s="42" t="str">
        <x:v>Dedication of the Lateran Basilica [Feast]</x:v>
      </x:c>
      <x:c r="G314" s="42" t="str">
        <x:v>★</x:v>
      </x:c>
      <x:c r="H314" s="42" t="str"/>
      <x:c r="I314" s="42" t="str"/>
      <x:c r="J314" s="42" t="str"/>
      <x:c r="K314" s="42" t="str"/>
      <x:c r="L314" s="42" t="str"/>
      <x:c r="M314" s="42" t="str"/>
      <x:c r="N314" s="42" t="str">
        <x:v>https://www.usccb.org/resources/2026cal.pdf</x:v>
      </x:c>
      <x:c r="O314" s="115" t="e">
        <x:f>HYPERLINK("https://bible.usccb.org/bible/readings/110926.cfm","Open official USCCB readings ↗")</x:f>
        <x:v>HYPERLINK is not implemented. linkLocation=https://bible.usccb.org/bible/readings/110926.cfm, friendlyName=Open official USCCB readings ↗</x:v>
      </x:c>
    </x:row>
    <x:row r="315">
      <x:c r="A315" s="40" t="n">
        <x:v>46336</x:v>
      </x:c>
      <x:c r="B315" s="41" t="str">
        <x:v>Tuesday</x:v>
      </x:c>
      <x:c r="C315" s="60" t="str">
        <x:v>Ordinary Time</x:v>
      </x:c>
      <x:c r="D315" s="41" t="str">
        <x:v>Saint Leo the Great</x:v>
      </x:c>
      <x:c r="E315" s="41" t="str">
        <x:v>Memorial</x:v>
      </x:c>
      <x:c r="F315" s="42" t="str">
        <x:v>Saint Leo the Great [Memorial]</x:v>
      </x:c>
      <x:c r="G315" s="42" t="str">
        <x:v>✦</x:v>
      </x:c>
      <x:c r="H315" s="42" t="str"/>
      <x:c r="I315" s="42" t="str"/>
      <x:c r="J315" s="42" t="str"/>
      <x:c r="K315" s="42" t="str"/>
      <x:c r="L315" s="42" t="str"/>
      <x:c r="M315" s="42" t="str"/>
      <x:c r="N315" s="42" t="str">
        <x:v>https://www.usccb.org/resources/2026cal.pdf</x:v>
      </x:c>
      <x:c r="O315" s="115" t="e">
        <x:f>HYPERLINK("https://bible.usccb.org/bible/readings/111026.cfm","Open official USCCB readings ↗")</x:f>
        <x:v>HYPERLINK is not implemented. linkLocation=https://bible.usccb.org/bible/readings/111026.cfm, friendlyName=Open official USCCB readings ↗</x:v>
      </x:c>
    </x:row>
    <x:row r="316">
      <x:c r="A316" s="40" t="n">
        <x:v>46337</x:v>
      </x:c>
      <x:c r="B316" s="41" t="str">
        <x:v>Wednesday</x:v>
      </x:c>
      <x:c r="C316" s="60" t="str">
        <x:v>Ordinary Time</x:v>
      </x:c>
      <x:c r="D316" s="41" t="str">
        <x:v>Saint Martin of Tours</x:v>
      </x:c>
      <x:c r="E316" s="41" t="str">
        <x:v>Memorial</x:v>
      </x:c>
      <x:c r="F316" s="42" t="str">
        <x:v>Saint Martin of Tours [Memorial]</x:v>
      </x:c>
      <x:c r="G316" s="42" t="str">
        <x:v>✦</x:v>
      </x:c>
      <x:c r="H316" s="42" t="str"/>
      <x:c r="I316" s="42" t="str"/>
      <x:c r="J316" s="42" t="str"/>
      <x:c r="K316" s="42" t="str"/>
      <x:c r="L316" s="42" t="str"/>
      <x:c r="M316" s="42" t="str"/>
      <x:c r="N316" s="42" t="str">
        <x:v>https://www.usccb.org/resources/2026cal.pdf</x:v>
      </x:c>
      <x:c r="O316" s="115" t="e">
        <x:f>HYPERLINK("https://bible.usccb.org/bible/readings/111126.cfm","Open official USCCB readings ↗")</x:f>
        <x:v>HYPERLINK is not implemented. linkLocation=https://bible.usccb.org/bible/readings/111126.cfm, friendlyName=Open official USCCB readings ↗</x:v>
      </x:c>
    </x:row>
    <x:row r="317">
      <x:c r="A317" s="40" t="n">
        <x:v>46338</x:v>
      </x:c>
      <x:c r="B317" s="41" t="str">
        <x:v>Thursday</x:v>
      </x:c>
      <x:c r="C317" s="60" t="str">
        <x:v>Ordinary Time</x:v>
      </x:c>
      <x:c r="D317" s="41" t="str">
        <x:v>Saint Josaphat</x:v>
      </x:c>
      <x:c r="E317" s="41" t="str">
        <x:v>Memorial</x:v>
      </x:c>
      <x:c r="F317" s="42" t="str">
        <x:v>Saint Josaphat [Memorial]</x:v>
      </x:c>
      <x:c r="G317" s="42" t="str">
        <x:v>✦ 🕯</x:v>
      </x:c>
      <x:c r="H317" s="42" t="str"/>
      <x:c r="I317" s="42" t="str"/>
      <x:c r="J317" s="42" t="str"/>
      <x:c r="K317" s="58" t="str">
        <x:v>🕯 St. Martin's Lent / historical Advent fast</x:v>
      </x:c>
      <x:c r="L317" s="42" t="str"/>
      <x:c r="M317" s="42" t="str"/>
      <x:c r="N317" s="42" t="str">
        <x:v>https://www.usccb.org/resources/2026cal.pdf
https://www.newadvent.org/cathen/06394b.htm</x:v>
      </x:c>
      <x:c r="O317" s="115" t="e">
        <x:f>HYPERLINK("https://bible.usccb.org/bible/readings/111226.cfm","Open official USCCB readings ↗")</x:f>
        <x:v>HYPERLINK is not implemented. linkLocation=https://bible.usccb.org/bible/readings/111226.cfm, friendlyName=Open official USCCB readings ↗</x:v>
      </x:c>
    </x:row>
    <x:row r="318">
      <x:c r="A318" s="40" t="n">
        <x:v>46339</x:v>
      </x:c>
      <x:c r="B318" s="41" t="str">
        <x:v>Friday</x:v>
      </x:c>
      <x:c r="C318" s="60" t="str">
        <x:v>Ordinary Time</x:v>
      </x:c>
      <x:c r="D318" s="41" t="str">
        <x:v>Saint Frances Xavier Cabrini</x:v>
      </x:c>
      <x:c r="E318" s="41" t="str">
        <x:v>Memorial</x:v>
      </x:c>
      <x:c r="F318" s="42" t="str">
        <x:v>Saint Frances Xavier Cabrini [Memorial]</x:v>
      </x:c>
      <x:c r="G318" s="42" t="str">
        <x:v>✦ Ⓟ 🕯</x:v>
      </x:c>
      <x:c r="H318" s="42" t="str"/>
      <x:c r="I318" s="42" t="str"/>
      <x:c r="J318" s="56" t="str">
        <x:v>Friday penance — outside Lent, U.S. Catholics may choose an appropriate penitential practice</x:v>
      </x:c>
      <x:c r="K318" s="58" t="str">
        <x:v>🕯 St. Martin's Lent / historical Advent fast</x:v>
      </x:c>
      <x:c r="L318" s="42" t="str"/>
      <x:c r="M318" s="42" t="str"/>
      <x:c r="N318" s="42" t="str">
        <x:v>https://www.usccb.org/resources/2026cal.pdf
https://www.usccb.org/prayer-and-worship/liturgical-year-and-calendar/lent/catholic-information-on-lenten-fast-and-abstinence
https://www.newadvent.org/cathen/06394b.htm</x:v>
      </x:c>
      <x:c r="O318" s="115" t="e">
        <x:f>HYPERLINK("https://bible.usccb.org/bible/readings/111326.cfm","Open official USCCB readings ↗")</x:f>
        <x:v>HYPERLINK is not implemented. linkLocation=https://bible.usccb.org/bible/readings/111326.cfm, friendlyName=Open official USCCB readings ↗</x:v>
      </x:c>
    </x:row>
    <x:row r="319">
      <x:c r="A319" s="40" t="n">
        <x:v>46340</x:v>
      </x:c>
      <x:c r="B319" s="41" t="str">
        <x:v>Saturday</x:v>
      </x:c>
      <x:c r="C319" s="60" t="str">
        <x:v>Ordinary Time</x:v>
      </x:c>
      <x:c r="D319" s="41" t="str">
        <x:v>Weekday in Ordinary Time</x:v>
      </x:c>
      <x:c r="E319" s="41" t="str">
        <x:v>Weekday</x:v>
      </x:c>
      <x:c r="F319" s="42" t="str"/>
      <x:c r="G319" s="42" t="str">
        <x:v>🕯</x:v>
      </x:c>
      <x:c r="H319" s="42" t="str"/>
      <x:c r="I319" s="42" t="str"/>
      <x:c r="J319" s="42" t="str"/>
      <x:c r="K319" s="58" t="str">
        <x:v>🕯 St. Martin's Lent / historical Advent fast</x:v>
      </x:c>
      <x:c r="L319" s="42" t="str"/>
      <x:c r="M319" s="42" t="str"/>
      <x:c r="N319" s="42" t="str">
        <x:v>https://www.usccb.org/resources/2026cal.pdf
https://www.newadvent.org/cathen/06394b.htm</x:v>
      </x:c>
      <x:c r="O319" s="115" t="e">
        <x:f>HYPERLINK("https://bible.usccb.org/bible/readings/111426.cfm","Open official USCCB readings ↗")</x:f>
        <x:v>HYPERLINK is not implemented. linkLocation=https://bible.usccb.org/bible/readings/111426.cfm, friendlyName=Open official USCCB readings ↗</x:v>
      </x:c>
    </x:row>
    <x:row r="320">
      <x:c r="A320" s="40" t="n">
        <x:v>46341</x:v>
      </x:c>
      <x:c r="B320" s="41" t="str">
        <x:v>Sunday</x:v>
      </x:c>
      <x:c r="C320" s="60" t="str">
        <x:v>Ordinary Time</x:v>
      </x:c>
      <x:c r="D320" s="41" t="str">
        <x:v>Thirty-Third Sunday in Ordinary Time</x:v>
      </x:c>
      <x:c r="E320" s="41" t="str">
        <x:v>Sunday</x:v>
      </x:c>
      <x:c r="F320" s="42" t="str">
        <x:v>Saint Albert the Great [Optional Memorial]</x:v>
      </x:c>
      <x:c r="G320" s="42" t="str">
        <x:v>✦ ⛪ 🕯</x:v>
      </x:c>
      <x:c r="H320" s="52" t="str">
        <x:v>⛪ Sunday Mass obligation</x:v>
      </x:c>
      <x:c r="I320" s="42" t="str"/>
      <x:c r="J320" s="42" t="str"/>
      <x:c r="K320" s="58" t="str">
        <x:v>🕯 St. Martin's Lent / historical Advent fast</x:v>
      </x:c>
      <x:c r="L320" s="42" t="str"/>
      <x:c r="M320" s="42" t="str">
        <x:v>A fixed observance also falls today, but the Sunday or higher-ranking celebration takes liturgical precedence.</x:v>
      </x:c>
      <x:c r="N320" s="42" t="str">
        <x:v>https://www.usccb.org/resources/2026cal.pdf
https://www.usccb.org/beliefs-and-teachings/what-we-believe/canon-law/complementary-norms/canon-1246
https://www.newadvent.org/cathen/06394b.htm</x:v>
      </x:c>
      <x:c r="O320" s="115" t="e">
        <x:f>HYPERLINK("https://bible.usccb.org/bible/readings/111526.cfm","Open official USCCB readings ↗")</x:f>
        <x:v>HYPERLINK is not implemented. linkLocation=https://bible.usccb.org/bible/readings/111526.cfm, friendlyName=Open official USCCB readings ↗</x:v>
      </x:c>
    </x:row>
    <x:row r="321">
      <x:c r="A321" s="40" t="n">
        <x:v>46342</x:v>
      </x:c>
      <x:c r="B321" s="41" t="str">
        <x:v>Monday</x:v>
      </x:c>
      <x:c r="C321" s="60" t="str">
        <x:v>Ordinary Time</x:v>
      </x:c>
      <x:c r="D321" s="41" t="str">
        <x:v>Weekday in Ordinary Time</x:v>
      </x:c>
      <x:c r="E321" s="41" t="str">
        <x:v>Weekday</x:v>
      </x:c>
      <x:c r="F321" s="42" t="str">
        <x:v>Saint Margaret of Scotland; Saint Gertrude [Optional Memorial]</x:v>
      </x:c>
      <x:c r="G321" s="42" t="str">
        <x:v>✦ 🕯</x:v>
      </x:c>
      <x:c r="H321" s="42" t="str"/>
      <x:c r="I321" s="42" t="str"/>
      <x:c r="J321" s="42" t="str"/>
      <x:c r="K321" s="58" t="str">
        <x:v>🕯 St. Martin's Lent / historical Advent fast</x:v>
      </x:c>
      <x:c r="L321" s="42" t="str"/>
      <x:c r="M321" s="42" t="str"/>
      <x:c r="N321" s="42" t="str">
        <x:v>https://www.usccb.org/resources/2026cal.pdf
https://www.newadvent.org/cathen/06394b.htm</x:v>
      </x:c>
      <x:c r="O321" s="115" t="e">
        <x:f>HYPERLINK("https://bible.usccb.org/bible/readings/111626.cfm","Open official USCCB readings ↗")</x:f>
        <x:v>HYPERLINK is not implemented. linkLocation=https://bible.usccb.org/bible/readings/111626.cfm, friendlyName=Open official USCCB readings ↗</x:v>
      </x:c>
    </x:row>
    <x:row r="322">
      <x:c r="A322" s="40" t="n">
        <x:v>46343</x:v>
      </x:c>
      <x:c r="B322" s="41" t="str">
        <x:v>Tuesday</x:v>
      </x:c>
      <x:c r="C322" s="60" t="str">
        <x:v>Ordinary Time</x:v>
      </x:c>
      <x:c r="D322" s="41" t="str">
        <x:v>Saint Elizabeth of Hungary</x:v>
      </x:c>
      <x:c r="E322" s="41" t="str">
        <x:v>Memorial</x:v>
      </x:c>
      <x:c r="F322" s="42" t="str">
        <x:v>Saint Elizabeth of Hungary [Memorial]</x:v>
      </x:c>
      <x:c r="G322" s="42" t="str">
        <x:v>✦ 🕯</x:v>
      </x:c>
      <x:c r="H322" s="42" t="str"/>
      <x:c r="I322" s="42" t="str"/>
      <x:c r="J322" s="42" t="str"/>
      <x:c r="K322" s="58" t="str">
        <x:v>🕯 St. Martin's Lent / historical Advent fast</x:v>
      </x:c>
      <x:c r="L322" s="42" t="str"/>
      <x:c r="M322" s="42" t="str"/>
      <x:c r="N322" s="42" t="str">
        <x:v>https://www.usccb.org/resources/2026cal.pdf
https://www.newadvent.org/cathen/06394b.htm</x:v>
      </x:c>
      <x:c r="O322" s="115" t="e">
        <x:f>HYPERLINK("https://bible.usccb.org/bible/readings/111726.cfm","Open official USCCB readings ↗")</x:f>
        <x:v>HYPERLINK is not implemented. linkLocation=https://bible.usccb.org/bible/readings/111726.cfm, friendlyName=Open official USCCB readings ↗</x:v>
      </x:c>
    </x:row>
    <x:row r="323">
      <x:c r="A323" s="40" t="n">
        <x:v>46344</x:v>
      </x:c>
      <x:c r="B323" s="41" t="str">
        <x:v>Wednesday</x:v>
      </x:c>
      <x:c r="C323" s="60" t="str">
        <x:v>Ordinary Time</x:v>
      </x:c>
      <x:c r="D323" s="41" t="str">
        <x:v>Weekday in Ordinary Time</x:v>
      </x:c>
      <x:c r="E323" s="41" t="str">
        <x:v>Weekday</x:v>
      </x:c>
      <x:c r="F323" s="42" t="str">
        <x:v>Dedication of the Basilicas of Saints Peter and Paul; Saint Rose Philippine Duchesne [Optional Memorial]</x:v>
      </x:c>
      <x:c r="G323" s="42" t="str">
        <x:v>✦ 🕯</x:v>
      </x:c>
      <x:c r="H323" s="42" t="str"/>
      <x:c r="I323" s="42" t="str"/>
      <x:c r="J323" s="42" t="str"/>
      <x:c r="K323" s="58" t="str">
        <x:v>🕯 St. Martin's Lent / historical Advent fast</x:v>
      </x:c>
      <x:c r="L323" s="42" t="str"/>
      <x:c r="M323" s="42" t="str"/>
      <x:c r="N323" s="42" t="str">
        <x:v>https://www.usccb.org/resources/2026cal.pdf
https://www.newadvent.org/cathen/06394b.htm</x:v>
      </x:c>
      <x:c r="O323" s="115" t="e">
        <x:f>HYPERLINK("https://bible.usccb.org/bible/readings/111826.cfm","Open official USCCB readings ↗")</x:f>
        <x:v>HYPERLINK is not implemented. linkLocation=https://bible.usccb.org/bible/readings/111826.cfm, friendlyName=Open official USCCB readings ↗</x:v>
      </x:c>
    </x:row>
    <x:row r="324">
      <x:c r="A324" s="40" t="n">
        <x:v>46345</x:v>
      </x:c>
      <x:c r="B324" s="41" t="str">
        <x:v>Thursday</x:v>
      </x:c>
      <x:c r="C324" s="60" t="str">
        <x:v>Ordinary Time</x:v>
      </x:c>
      <x:c r="D324" s="41" t="str">
        <x:v>Weekday in Ordinary Time</x:v>
      </x:c>
      <x:c r="E324" s="41" t="str">
        <x:v>Weekday</x:v>
      </x:c>
      <x:c r="F324" s="42" t="str"/>
      <x:c r="G324" s="42" t="str">
        <x:v>🕯</x:v>
      </x:c>
      <x:c r="H324" s="42" t="str"/>
      <x:c r="I324" s="42" t="str"/>
      <x:c r="J324" s="42" t="str"/>
      <x:c r="K324" s="58" t="str">
        <x:v>🕯 St. Martin's Lent / historical Advent fast</x:v>
      </x:c>
      <x:c r="L324" s="42" t="str"/>
      <x:c r="M324" s="42" t="str"/>
      <x:c r="N324" s="42" t="str">
        <x:v>https://www.usccb.org/resources/2026cal.pdf
https://www.newadvent.org/cathen/06394b.htm</x:v>
      </x:c>
      <x:c r="O324" s="115" t="e">
        <x:f>HYPERLINK("https://bible.usccb.org/bible/readings/111926.cfm","Open official USCCB readings ↗")</x:f>
        <x:v>HYPERLINK is not implemented. linkLocation=https://bible.usccb.org/bible/readings/111926.cfm, friendlyName=Open official USCCB readings ↗</x:v>
      </x:c>
    </x:row>
    <x:row r="325">
      <x:c r="A325" s="40" t="n">
        <x:v>46346</x:v>
      </x:c>
      <x:c r="B325" s="41" t="str">
        <x:v>Friday</x:v>
      </x:c>
      <x:c r="C325" s="60" t="str">
        <x:v>Ordinary Time</x:v>
      </x:c>
      <x:c r="D325" s="41" t="str">
        <x:v>Weekday in Ordinary Time</x:v>
      </x:c>
      <x:c r="E325" s="41" t="str">
        <x:v>Weekday</x:v>
      </x:c>
      <x:c r="F325" s="42" t="str"/>
      <x:c r="G325" s="42" t="str">
        <x:v>Ⓟ 🕯</x:v>
      </x:c>
      <x:c r="H325" s="42" t="str"/>
      <x:c r="I325" s="42" t="str"/>
      <x:c r="J325" s="56" t="str">
        <x:v>Friday penance — outside Lent, U.S. Catholics may choose an appropriate penitential practice</x:v>
      </x:c>
      <x:c r="K325" s="58" t="str">
        <x:v>🕯 St. Martin's Lent / historical Advent fast</x:v>
      </x:c>
      <x:c r="L325" s="42" t="str"/>
      <x:c r="M325" s="42" t="str"/>
      <x:c r="N325" s="42" t="str">
        <x:v>https://www.usccb.org/resources/2026cal.pdf
https://www.usccb.org/prayer-and-worship/liturgical-year-and-calendar/lent/catholic-information-on-lenten-fast-and-abstinence
https://www.newadvent.org/cathen/06394b.htm</x:v>
      </x:c>
      <x:c r="O325" s="115" t="e">
        <x:f>HYPERLINK("https://bible.usccb.org/bible/readings/112026.cfm","Open official USCCB readings ↗")</x:f>
        <x:v>HYPERLINK is not implemented. linkLocation=https://bible.usccb.org/bible/readings/112026.cfm, friendlyName=Open official USCCB readings ↗</x:v>
      </x:c>
    </x:row>
    <x:row r="326">
      <x:c r="A326" s="40" t="n">
        <x:v>46347</x:v>
      </x:c>
      <x:c r="B326" s="41" t="str">
        <x:v>Saturday</x:v>
      </x:c>
      <x:c r="C326" s="60" t="str">
        <x:v>Ordinary Time</x:v>
      </x:c>
      <x:c r="D326" s="41" t="str">
        <x:v>Presentation of the Blessed Virgin Mary</x:v>
      </x:c>
      <x:c r="E326" s="41" t="str">
        <x:v>Memorial</x:v>
      </x:c>
      <x:c r="F326" s="48" t="str">
        <x:v>Presentation of the Blessed Virgin Mary [Memorial]</x:v>
      </x:c>
      <x:c r="G326" s="42" t="str">
        <x:v>🌹 🕯</x:v>
      </x:c>
      <x:c r="H326" s="42" t="str"/>
      <x:c r="I326" s="42" t="str"/>
      <x:c r="J326" s="42" t="str"/>
      <x:c r="K326" s="58" t="str">
        <x:v>🕯 St. Martin's Lent / historical Advent fast</x:v>
      </x:c>
      <x:c r="L326" s="42" t="str"/>
      <x:c r="M326" s="42" t="str"/>
      <x:c r="N326" s="42" t="str">
        <x:v>https://www.usccb.org/resources/2026cal.pdf
https://www.newadvent.org/cathen/06394b.htm</x:v>
      </x:c>
      <x:c r="O326" s="115" t="e">
        <x:f>HYPERLINK("https://bible.usccb.org/bible/readings/112126.cfm","Open official USCCB readings ↗")</x:f>
        <x:v>HYPERLINK is not implemented. linkLocation=https://bible.usccb.org/bible/readings/112126.cfm, friendlyName=Open official USCCB readings ↗</x:v>
      </x:c>
    </x:row>
    <x:row r="327">
      <x:c r="A327" s="40" t="n">
        <x:v>46348</x:v>
      </x:c>
      <x:c r="B327" s="41" t="str">
        <x:v>Sunday</x:v>
      </x:c>
      <x:c r="C327" s="60" t="str">
        <x:v>Ordinary Time</x:v>
      </x:c>
      <x:c r="D327" s="41" t="str">
        <x:v>Our Lord Jesus Christ, King of the Universe</x:v>
      </x:c>
      <x:c r="E327" s="41" t="str">
        <x:v>Solemnity</x:v>
      </x:c>
      <x:c r="F327" s="42" t="str">
        <x:v>Saint Cecilia [Memorial]</x:v>
      </x:c>
      <x:c r="G327" s="42" t="str">
        <x:v>★ ✝ ✦ ⛪ 🕯</x:v>
      </x:c>
      <x:c r="H327" s="52" t="str">
        <x:v>⛪ Sunday Mass obligation</x:v>
      </x:c>
      <x:c r="I327" s="42" t="str"/>
      <x:c r="J327" s="42" t="str"/>
      <x:c r="K327" s="58" t="str">
        <x:v>🕯 St. Martin's Lent / historical Advent fast</x:v>
      </x:c>
      <x:c r="L327" s="42" t="str"/>
      <x:c r="M327" s="42" t="str">
        <x:v>A fixed observance also falls today, but the Sunday or higher-ranking celebration takes liturgical precedence.</x:v>
      </x:c>
      <x:c r="N327" s="42" t="str">
        <x:v>https://www.usccb.org/resources/2026cal.pdf
https://www.usccb.org/beliefs-and-teachings/what-we-believe/canon-law/complementary-norms/canon-1246
https://www.newadvent.org/cathen/06394b.htm</x:v>
      </x:c>
      <x:c r="O327" s="115" t="e">
        <x:f>HYPERLINK("https://bible.usccb.org/bible/readings/112226.cfm","Open official USCCB readings ↗")</x:f>
        <x:v>HYPERLINK is not implemented. linkLocation=https://bible.usccb.org/bible/readings/112226.cfm, friendlyName=Open official USCCB readings ↗</x:v>
      </x:c>
    </x:row>
    <x:row r="328">
      <x:c r="A328" s="40" t="n">
        <x:v>46349</x:v>
      </x:c>
      <x:c r="B328" s="41" t="str">
        <x:v>Monday</x:v>
      </x:c>
      <x:c r="C328" s="60" t="str">
        <x:v>Ordinary Time</x:v>
      </x:c>
      <x:c r="D328" s="41" t="str">
        <x:v>Weekday in Ordinary Time</x:v>
      </x:c>
      <x:c r="E328" s="41" t="str">
        <x:v>Weekday</x:v>
      </x:c>
      <x:c r="F328" s="42" t="str">
        <x:v>Saint Clement I; Saint Columban; Blessed Miguel Agustín Pro [Optional Memorial]</x:v>
      </x:c>
      <x:c r="G328" s="42" t="str">
        <x:v>✦ 🕯</x:v>
      </x:c>
      <x:c r="H328" s="42" t="str"/>
      <x:c r="I328" s="42" t="str"/>
      <x:c r="J328" s="42" t="str"/>
      <x:c r="K328" s="58" t="str">
        <x:v>🕯 St. Martin's Lent / historical Advent fast</x:v>
      </x:c>
      <x:c r="L328" s="42" t="str"/>
      <x:c r="M328" s="42" t="str"/>
      <x:c r="N328" s="42" t="str">
        <x:v>https://www.usccb.org/resources/2026cal.pdf
https://www.newadvent.org/cathen/06394b.htm</x:v>
      </x:c>
      <x:c r="O328" s="115" t="e">
        <x:f>HYPERLINK("https://bible.usccb.org/bible/readings/112326.cfm","Open official USCCB readings ↗")</x:f>
        <x:v>HYPERLINK is not implemented. linkLocation=https://bible.usccb.org/bible/readings/112326.cfm, friendlyName=Open official USCCB readings ↗</x:v>
      </x:c>
    </x:row>
    <x:row r="329">
      <x:c r="A329" s="40" t="n">
        <x:v>46350</x:v>
      </x:c>
      <x:c r="B329" s="41" t="str">
        <x:v>Tuesday</x:v>
      </x:c>
      <x:c r="C329" s="60" t="str">
        <x:v>Ordinary Time</x:v>
      </x:c>
      <x:c r="D329" s="41" t="str">
        <x:v>Saint Andrew Dũng-Lạc and Companions</x:v>
      </x:c>
      <x:c r="E329" s="41" t="str">
        <x:v>Memorial</x:v>
      </x:c>
      <x:c r="F329" s="42" t="str">
        <x:v>Saint Andrew Dũng-Lạc and Companions [Memorial]</x:v>
      </x:c>
      <x:c r="G329" s="42" t="str">
        <x:v>✦ 🕯</x:v>
      </x:c>
      <x:c r="H329" s="42" t="str"/>
      <x:c r="I329" s="42" t="str"/>
      <x:c r="J329" s="42" t="str"/>
      <x:c r="K329" s="58" t="str">
        <x:v>🕯 St. Martin's Lent / historical Advent fast</x:v>
      </x:c>
      <x:c r="L329" s="42" t="str"/>
      <x:c r="M329" s="42" t="str"/>
      <x:c r="N329" s="42" t="str">
        <x:v>https://www.usccb.org/resources/2026cal.pdf
https://www.newadvent.org/cathen/06394b.htm</x:v>
      </x:c>
      <x:c r="O329" s="115" t="e">
        <x:f>HYPERLINK("https://bible.usccb.org/bible/readings/112426.cfm","Open official USCCB readings ↗")</x:f>
        <x:v>HYPERLINK is not implemented. linkLocation=https://bible.usccb.org/bible/readings/112426.cfm, friendlyName=Open official USCCB readings ↗</x:v>
      </x:c>
    </x:row>
    <x:row r="330">
      <x:c r="A330" s="40" t="n">
        <x:v>46351</x:v>
      </x:c>
      <x:c r="B330" s="41" t="str">
        <x:v>Wednesday</x:v>
      </x:c>
      <x:c r="C330" s="60" t="str">
        <x:v>Ordinary Time</x:v>
      </x:c>
      <x:c r="D330" s="41" t="str">
        <x:v>Weekday in Ordinary Time</x:v>
      </x:c>
      <x:c r="E330" s="41" t="str">
        <x:v>Weekday</x:v>
      </x:c>
      <x:c r="F330" s="42" t="str">
        <x:v>Saint Catherine of Alexandria [Optional Memorial]</x:v>
      </x:c>
      <x:c r="G330" s="42" t="str">
        <x:v>✦ 🕯</x:v>
      </x:c>
      <x:c r="H330" s="42" t="str"/>
      <x:c r="I330" s="42" t="str"/>
      <x:c r="J330" s="42" t="str"/>
      <x:c r="K330" s="58" t="str">
        <x:v>🕯 St. Martin's Lent / historical Advent fast</x:v>
      </x:c>
      <x:c r="L330" s="42" t="str"/>
      <x:c r="M330" s="42" t="str"/>
      <x:c r="N330" s="42" t="str">
        <x:v>https://www.usccb.org/resources/2026cal.pdf
https://www.newadvent.org/cathen/06394b.htm</x:v>
      </x:c>
      <x:c r="O330" s="115" t="e">
        <x:f>HYPERLINK("https://bible.usccb.org/bible/readings/112526.cfm","Open official USCCB readings ↗")</x:f>
        <x:v>HYPERLINK is not implemented. linkLocation=https://bible.usccb.org/bible/readings/112526.cfm, friendlyName=Open official USCCB readings ↗</x:v>
      </x:c>
    </x:row>
    <x:row r="331">
      <x:c r="A331" s="40" t="n">
        <x:v>46352</x:v>
      </x:c>
      <x:c r="B331" s="41" t="str">
        <x:v>Thursday</x:v>
      </x:c>
      <x:c r="C331" s="60" t="str">
        <x:v>Ordinary Time</x:v>
      </x:c>
      <x:c r="D331" s="41" t="str">
        <x:v>Weekday in Ordinary Time</x:v>
      </x:c>
      <x:c r="E331" s="41" t="str">
        <x:v>Weekday</x:v>
      </x:c>
      <x:c r="F331" s="42" t="str"/>
      <x:c r="G331" s="42" t="str">
        <x:v>🕯</x:v>
      </x:c>
      <x:c r="H331" s="42" t="str"/>
      <x:c r="I331" s="42" t="str"/>
      <x:c r="J331" s="42" t="str"/>
      <x:c r="K331" s="58" t="str">
        <x:v>🕯 St. Martin's Lent / historical Advent fast</x:v>
      </x:c>
      <x:c r="L331" s="42" t="str"/>
      <x:c r="M331" s="42" t="str"/>
      <x:c r="N331" s="42" t="str">
        <x:v>https://www.usccb.org/resources/2026cal.pdf
https://www.newadvent.org/cathen/06394b.htm</x:v>
      </x:c>
      <x:c r="O331" s="115" t="e">
        <x:f>HYPERLINK("https://bible.usccb.org/bible/readings/112626.cfm","Open official USCCB readings ↗")</x:f>
        <x:v>HYPERLINK is not implemented. linkLocation=https://bible.usccb.org/bible/readings/112626.cfm, friendlyName=Open official USCCB readings ↗</x:v>
      </x:c>
    </x:row>
    <x:row r="332">
      <x:c r="A332" s="40" t="n">
        <x:v>46353</x:v>
      </x:c>
      <x:c r="B332" s="41" t="str">
        <x:v>Friday</x:v>
      </x:c>
      <x:c r="C332" s="60" t="str">
        <x:v>Ordinary Time</x:v>
      </x:c>
      <x:c r="D332" s="41" t="str">
        <x:v>Weekday in Ordinary Time</x:v>
      </x:c>
      <x:c r="E332" s="41" t="str">
        <x:v>Weekday</x:v>
      </x:c>
      <x:c r="F332" s="42" t="str"/>
      <x:c r="G332" s="42" t="str">
        <x:v>Ⓟ 🕯</x:v>
      </x:c>
      <x:c r="H332" s="42" t="str"/>
      <x:c r="I332" s="42" t="str"/>
      <x:c r="J332" s="56" t="str">
        <x:v>Friday penance — outside Lent, U.S. Catholics may choose an appropriate penitential practice</x:v>
      </x:c>
      <x:c r="K332" s="58" t="str">
        <x:v>🕯 St. Martin's Lent / historical Advent fast</x:v>
      </x:c>
      <x:c r="L332" s="42" t="str"/>
      <x:c r="M332" s="42" t="str"/>
      <x:c r="N332" s="42" t="str">
        <x:v>https://www.usccb.org/resources/2026cal.pdf
https://www.usccb.org/prayer-and-worship/liturgical-year-and-calendar/lent/catholic-information-on-lenten-fast-and-abstinence
https://www.newadvent.org/cathen/06394b.htm</x:v>
      </x:c>
      <x:c r="O332" s="115" t="e">
        <x:f>HYPERLINK("https://bible.usccb.org/bible/readings/112726.cfm","Open official USCCB readings ↗")</x:f>
        <x:v>HYPERLINK is not implemented. linkLocation=https://bible.usccb.org/bible/readings/112726.cfm, friendlyName=Open official USCCB readings ↗</x:v>
      </x:c>
    </x:row>
    <x:row r="333">
      <x:c r="A333" s="40" t="n">
        <x:v>46354</x:v>
      </x:c>
      <x:c r="B333" s="41" t="str">
        <x:v>Saturday</x:v>
      </x:c>
      <x:c r="C333" s="60" t="str">
        <x:v>Ordinary Time</x:v>
      </x:c>
      <x:c r="D333" s="41" t="str">
        <x:v>Weekday in Ordinary Time</x:v>
      </x:c>
      <x:c r="E333" s="41" t="str">
        <x:v>Weekday</x:v>
      </x:c>
      <x:c r="F333" s="42" t="str"/>
      <x:c r="G333" s="42" t="str">
        <x:v>🕯</x:v>
      </x:c>
      <x:c r="H333" s="42" t="str"/>
      <x:c r="I333" s="42" t="str"/>
      <x:c r="J333" s="42" t="str"/>
      <x:c r="K333" s="58" t="str">
        <x:v>🕯 St. Martin's Lent / historical Advent fast</x:v>
      </x:c>
      <x:c r="L333" s="42" t="str"/>
      <x:c r="M333" s="42" t="str"/>
      <x:c r="N333" s="42" t="str">
        <x:v>https://www.usccb.org/resources/2026cal.pdf
https://www.newadvent.org/cathen/06394b.htm</x:v>
      </x:c>
      <x:c r="O333" s="115" t="e">
        <x:f>HYPERLINK("https://bible.usccb.org/bible/readings/112826.cfm","Open official USCCB readings ↗")</x:f>
        <x:v>HYPERLINK is not implemented. linkLocation=https://bible.usccb.org/bible/readings/112826.cfm, friendlyName=Open official USCCB readings ↗</x:v>
      </x:c>
    </x:row>
    <x:row r="334">
      <x:c r="A334" s="40" t="n">
        <x:v>46355</x:v>
      </x:c>
      <x:c r="B334" s="41" t="str">
        <x:v>Sunday</x:v>
      </x:c>
      <x:c r="C334" s="68" t="str">
        <x:v>Advent</x:v>
      </x:c>
      <x:c r="D334" s="41" t="str">
        <x:v>First Sunday of Advent</x:v>
      </x:c>
      <x:c r="E334" s="41" t="str">
        <x:v>Sunday</x:v>
      </x:c>
      <x:c r="F334" s="48" t="str"/>
      <x:c r="G334" s="42" t="str">
        <x:v>⛪ 🙏 🌹 🕯</x:v>
      </x:c>
      <x:c r="H334" s="52" t="str">
        <x:v>⛪ Sunday Mass obligation</x:v>
      </x:c>
      <x:c r="I334" s="54" t="str">
        <x:v>🌹 Immaculate Conception Novena — Day 1/9 [START]</x:v>
      </x:c>
      <x:c r="J334" s="42" t="str"/>
      <x:c r="K334" s="58" t="str">
        <x:v>🕯 St. Martin's Lent / historical Advent fast</x:v>
      </x:c>
      <x:c r="L334" s="42" t="str"/>
      <x:c r="M334" s="42" t="str"/>
      <x:c r="N334" s="42" t="str">
        <x:v>https://www.usccb.org/resources/2026cal.pdf
https://www.usccb.org/beliefs-and-teachings/what-we-believe/canon-law/complementary-norms/canon-1246
https://www.usccb.org/resources/liturgical-calendar-dioceses-united-states-america
https://www.newadvent.org/cathen/06394b.htm</x:v>
      </x:c>
      <x:c r="O334" s="115" t="e">
        <x:f>HYPERLINK("https://bible.usccb.org/bible/readings/112926.cfm","Open official USCCB readings ↗")</x:f>
        <x:v>HYPERLINK is not implemented. linkLocation=https://bible.usccb.org/bible/readings/112926.cfm, friendlyName=Open official USCCB readings ↗</x:v>
      </x:c>
    </x:row>
    <x:row r="335">
      <x:c r="A335" s="40" t="n">
        <x:v>46356</x:v>
      </x:c>
      <x:c r="B335" s="41" t="str">
        <x:v>Monday</x:v>
      </x:c>
      <x:c r="C335" s="68" t="str">
        <x:v>Advent</x:v>
      </x:c>
      <x:c r="D335" s="41" t="str">
        <x:v>Saint Andrew, Apostle</x:v>
      </x:c>
      <x:c r="E335" s="41" t="str">
        <x:v>Feast</x:v>
      </x:c>
      <x:c r="F335" s="48" t="str">
        <x:v>Saint Andrew, Apostle [Feast]</x:v>
      </x:c>
      <x:c r="G335" s="42" t="str">
        <x:v>★ ✦ 🙏 🌹 🕯</x:v>
      </x:c>
      <x:c r="H335" s="42" t="str"/>
      <x:c r="I335" s="54" t="str">
        <x:v>🌹 Immaculate Conception Novena — Day 2/9
🙏 St. Andrew Christmas Novena / Christmas Anticipation Prayer — Day 1/25 [START]</x:v>
      </x:c>
      <x:c r="J335" s="42" t="str"/>
      <x:c r="K335" s="58" t="str">
        <x:v>🕯 St. Martin's Lent / historical Advent fast</x:v>
      </x:c>
      <x:c r="L335" s="42" t="str"/>
      <x:c r="M335" s="42" t="str"/>
      <x:c r="N335" s="42" t="str">
        <x:v>https://www.usccb.org/resources/2026cal.pdf
https://www.usccb.org/resources/liturgical-calendar-dioceses-united-states-america
https://www.newadvent.org/cathen/06394b.htm
https://hallow.com/blog/how-to-pray-the-st-andrew-christmas-novena/</x:v>
      </x:c>
      <x:c r="O335" s="115" t="e">
        <x:f>HYPERLINK("https://bible.usccb.org/bible/readings/113026.cfm","Open official USCCB readings ↗")</x:f>
        <x:v>HYPERLINK is not implemented. linkLocation=https://bible.usccb.org/bible/readings/113026.cfm, friendlyName=Open official USCCB readings ↗</x:v>
      </x:c>
    </x:row>
    <x:row r="336">
      <x:c r="A336" s="40" t="n">
        <x:v>46357</x:v>
      </x:c>
      <x:c r="B336" s="41" t="str">
        <x:v>Tuesday</x:v>
      </x:c>
      <x:c r="C336" s="68" t="str">
        <x:v>Advent</x:v>
      </x:c>
      <x:c r="D336" s="41" t="str">
        <x:v>Advent Weekday</x:v>
      </x:c>
      <x:c r="E336" s="41" t="str">
        <x:v>Weekday</x:v>
      </x:c>
      <x:c r="F336" s="48" t="str"/>
      <x:c r="G336" s="42" t="str">
        <x:v>🙏 🌹 🕯</x:v>
      </x:c>
      <x:c r="H336" s="42" t="str"/>
      <x:c r="I336" s="54" t="str">
        <x:v>🌹 Immaculate Conception Novena — Day 3/9
🙏 St. Andrew Christmas Novena / Christmas Anticipation Prayer — Day 2/25</x:v>
      </x:c>
      <x:c r="J336" s="42" t="str"/>
      <x:c r="K336" s="58" t="str">
        <x:v>🕯 St. Martin's Lent / historical Advent fast</x:v>
      </x:c>
      <x:c r="L336" s="42" t="str"/>
      <x:c r="M336" s="42" t="str"/>
      <x:c r="N336" s="42" t="str">
        <x:v>https://www.usccb.org/resources/2026cal.pdf
https://www.usccb.org/resources/liturgical-calendar-dioceses-united-states-america
https://www.newadvent.org/cathen/06394b.htm
https://hallow.com/blog/how-to-pray-the-st-andrew-christmas-novena/</x:v>
      </x:c>
      <x:c r="O336" s="115" t="e">
        <x:f>HYPERLINK("https://bible.usccb.org/bible/readings/120126.cfm","Open official USCCB readings ↗")</x:f>
        <x:v>HYPERLINK is not implemented. linkLocation=https://bible.usccb.org/bible/readings/120126.cfm, friendlyName=Open official USCCB readings ↗</x:v>
      </x:c>
    </x:row>
    <x:row r="337">
      <x:c r="A337" s="40" t="n">
        <x:v>46358</x:v>
      </x:c>
      <x:c r="B337" s="41" t="str">
        <x:v>Wednesday</x:v>
      </x:c>
      <x:c r="C337" s="68" t="str">
        <x:v>Advent</x:v>
      </x:c>
      <x:c r="D337" s="41" t="str">
        <x:v>Advent Weekday</x:v>
      </x:c>
      <x:c r="E337" s="41" t="str">
        <x:v>Weekday</x:v>
      </x:c>
      <x:c r="F337" s="48" t="str"/>
      <x:c r="G337" s="42" t="str">
        <x:v>🙏 🌹 🕯</x:v>
      </x:c>
      <x:c r="H337" s="42" t="str"/>
      <x:c r="I337" s="54" t="str">
        <x:v>🌹 Immaculate Conception Novena — Day 4/9
🙏 St. Andrew Christmas Novena / Christmas Anticipation Prayer — Day 3/25</x:v>
      </x:c>
      <x:c r="J337" s="42" t="str"/>
      <x:c r="K337" s="58" t="str">
        <x:v>🕯 St. Martin's Lent / historical Advent fast</x:v>
      </x:c>
      <x:c r="L337" s="42" t="str"/>
      <x:c r="M337" s="42" t="str"/>
      <x:c r="N337" s="42" t="str">
        <x:v>https://www.usccb.org/resources/2026cal.pdf
https://www.usccb.org/resources/liturgical-calendar-dioceses-united-states-america
https://www.newadvent.org/cathen/06394b.htm
https://hallow.com/blog/how-to-pray-the-st-andrew-christmas-novena/</x:v>
      </x:c>
      <x:c r="O337" s="115" t="e">
        <x:f>HYPERLINK("https://bible.usccb.org/bible/readings/120226.cfm","Open official USCCB readings ↗")</x:f>
        <x:v>HYPERLINK is not implemented. linkLocation=https://bible.usccb.org/bible/readings/120226.cfm, friendlyName=Open official USCCB readings ↗</x:v>
      </x:c>
    </x:row>
    <x:row r="338">
      <x:c r="A338" s="40" t="n">
        <x:v>46359</x:v>
      </x:c>
      <x:c r="B338" s="41" t="str">
        <x:v>Thursday</x:v>
      </x:c>
      <x:c r="C338" s="68" t="str">
        <x:v>Advent</x:v>
      </x:c>
      <x:c r="D338" s="41" t="str">
        <x:v>Saint Francis Xavier</x:v>
      </x:c>
      <x:c r="E338" s="41" t="str">
        <x:v>Memorial</x:v>
      </x:c>
      <x:c r="F338" s="48" t="str">
        <x:v>Saint Francis Xavier [Memorial]</x:v>
      </x:c>
      <x:c r="G338" s="42" t="str">
        <x:v>✦ 🙏 🌹 🕯</x:v>
      </x:c>
      <x:c r="H338" s="42" t="str"/>
      <x:c r="I338" s="54" t="str">
        <x:v>🌹 Immaculate Conception Novena — Day 5/9
🙏 St. Andrew Christmas Novena / Christmas Anticipation Prayer — Day 4/25</x:v>
      </x:c>
      <x:c r="J338" s="42" t="str"/>
      <x:c r="K338" s="58" t="str">
        <x:v>🕯 St. Martin's Lent / historical Advent fast</x:v>
      </x:c>
      <x:c r="L338" s="42" t="str"/>
      <x:c r="M338" s="42" t="str"/>
      <x:c r="N338" s="42" t="str">
        <x:v>https://www.usccb.org/resources/2026cal.pdf
https://www.usccb.org/resources/liturgical-calendar-dioceses-united-states-america
https://www.newadvent.org/cathen/06394b.htm
https://hallow.com/blog/how-to-pray-the-st-andrew-christmas-novena/</x:v>
      </x:c>
      <x:c r="O338" s="115" t="e">
        <x:f>HYPERLINK("https://bible.usccb.org/bible/readings/120326.cfm","Open official USCCB readings ↗")</x:f>
        <x:v>HYPERLINK is not implemented. linkLocation=https://bible.usccb.org/bible/readings/120326.cfm, friendlyName=Open official USCCB readings ↗</x:v>
      </x:c>
    </x:row>
    <x:row r="339">
      <x:c r="A339" s="40" t="n">
        <x:v>46360</x:v>
      </x:c>
      <x:c r="B339" s="41" t="str">
        <x:v>Friday</x:v>
      </x:c>
      <x:c r="C339" s="68" t="str">
        <x:v>Advent</x:v>
      </x:c>
      <x:c r="D339" s="41" t="str">
        <x:v>Advent Weekday</x:v>
      </x:c>
      <x:c r="E339" s="41" t="str">
        <x:v>Weekday</x:v>
      </x:c>
      <x:c r="F339" s="48" t="str">
        <x:v>Saint John Damascene [Optional Memorial]</x:v>
      </x:c>
      <x:c r="G339" s="42" t="str">
        <x:v>✦ 🙏 🌹 Ⓟ 🕯</x:v>
      </x:c>
      <x:c r="H339" s="42" t="str"/>
      <x:c r="I339" s="54" t="str">
        <x:v>🌹 Immaculate Conception Novena — Day 6/9
❤ First Friday — Sacred Heart devotion
🙏 St. Andrew Christmas Novena / Christmas Anticipation Prayer — Day 5/25</x:v>
      </x:c>
      <x:c r="J339" s="56" t="str">
        <x:v>Friday penance — outside Lent, U.S. Catholics may choose an appropriate penitential practice</x:v>
      </x:c>
      <x:c r="K339" s="58" t="str">
        <x:v>🕯 St. Martin's Lent / historical Advent fast</x:v>
      </x:c>
      <x:c r="L339" s="42" t="str">
        <x:v>Popular tradition: Saint Barbara</x:v>
      </x:c>
      <x:c r="M339" s="42" t="str"/>
      <x:c r="N339" s="42" t="str">
        <x:v>https://www.usccb.org/resources/2026cal.pdf
https://www.usccb.org/resources/liturgical-calendar-dioceses-united-states-america
https://www.ewtn.com/catholicism/library/first-friday-devotion-to-sacred-heart-4692
https://www.usccb.org/prayer-and-worship/liturgical-year-and-calendar/lent/catholic-information-on-lenten-fast-and-abstinence
https://www.newadvent.org/cathen/06394b.htm
https://hallow.com/blog/how-to-pray-the-st-andrew-christmas-novena/</x:v>
      </x:c>
      <x:c r="O339" s="115" t="e">
        <x:f>HYPERLINK("https://bible.usccb.org/bible/readings/120426.cfm","Open official USCCB readings ↗")</x:f>
        <x:v>HYPERLINK is not implemented. linkLocation=https://bible.usccb.org/bible/readings/120426.cfm, friendlyName=Open official USCCB readings ↗</x:v>
      </x:c>
    </x:row>
    <x:row r="340">
      <x:c r="A340" s="40" t="n">
        <x:v>46361</x:v>
      </x:c>
      <x:c r="B340" s="41" t="str">
        <x:v>Saturday</x:v>
      </x:c>
      <x:c r="C340" s="68" t="str">
        <x:v>Advent</x:v>
      </x:c>
      <x:c r="D340" s="41" t="str">
        <x:v>Advent Weekday</x:v>
      </x:c>
      <x:c r="E340" s="41" t="str">
        <x:v>Weekday</x:v>
      </x:c>
      <x:c r="F340" s="48" t="str"/>
      <x:c r="G340" s="42" t="str">
        <x:v>🙏 🌹 🕯</x:v>
      </x:c>
      <x:c r="H340" s="42" t="str"/>
      <x:c r="I340" s="54" t="str">
        <x:v>🌹 Immaculate Conception Novena — Day 7/9
🌹 First Saturday — Immaculate Heart devotion
🙏 St. Andrew Christmas Novena / Christmas Anticipation Prayer — Day 6/25</x:v>
      </x:c>
      <x:c r="J340" s="42" t="str"/>
      <x:c r="K340" s="58" t="str">
        <x:v>🕯 St. Martin's Lent / historical Advent fast</x:v>
      </x:c>
      <x:c r="L340" s="42" t="str"/>
      <x:c r="M340" s="42" t="str"/>
      <x:c r="N340" s="42" t="str">
        <x:v>https://www.usccb.org/resources/2026cal.pdf
https://www.usccb.org/resources/liturgical-calendar-dioceses-united-states-america
https://www.ewtn.com/catholicism/library/revelation-of-the-immaculate-heart-at-fatima-in-1917-5465
https://www.newadvent.org/cathen/06394b.htm
https://hallow.com/blog/how-to-pray-the-st-andrew-christmas-novena/</x:v>
      </x:c>
      <x:c r="O340" s="115" t="e">
        <x:f>HYPERLINK("https://bible.usccb.org/bible/readings/120526.cfm","Open official USCCB readings ↗")</x:f>
        <x:v>HYPERLINK is not implemented. linkLocation=https://bible.usccb.org/bible/readings/120526.cfm, friendlyName=Open official USCCB readings ↗</x:v>
      </x:c>
    </x:row>
    <x:row r="341">
      <x:c r="A341" s="40" t="n">
        <x:v>46362</x:v>
      </x:c>
      <x:c r="B341" s="41" t="str">
        <x:v>Sunday</x:v>
      </x:c>
      <x:c r="C341" s="68" t="str">
        <x:v>Advent</x:v>
      </x:c>
      <x:c r="D341" s="41" t="str">
        <x:v>Second Sunday of Advent</x:v>
      </x:c>
      <x:c r="E341" s="41" t="str">
        <x:v>Sunday</x:v>
      </x:c>
      <x:c r="F341" s="48" t="str">
        <x:v>Saint Nicholas [Optional Memorial]</x:v>
      </x:c>
      <x:c r="G341" s="42" t="str">
        <x:v>✦ ⛪ 🙏 🌹 🕯</x:v>
      </x:c>
      <x:c r="H341" s="52" t="str">
        <x:v>⛪ Sunday Mass obligation</x:v>
      </x:c>
      <x:c r="I341" s="54" t="str">
        <x:v>🌹 Immaculate Conception Novena — Day 8/9
🙏 St. Andrew Christmas Novena / Christmas Anticipation Prayer — Day 7/25</x:v>
      </x:c>
      <x:c r="J341" s="42" t="str"/>
      <x:c r="K341" s="58" t="str">
        <x:v>🕯 St. Martin's Lent / historical Advent fast</x:v>
      </x:c>
      <x:c r="L341" s="42" t="str"/>
      <x:c r="M341" s="42" t="str">
        <x:v>A fixed observance also falls today, but the Sunday or higher-ranking celebration takes liturgical precedence.</x:v>
      </x:c>
      <x:c r="N341" s="42" t="str">
        <x:v>https://www.usccb.org/resources/2026cal.pdf
https://www.usccb.org/beliefs-and-teachings/what-we-believe/canon-law/complementary-norms/canon-1246
https://www.usccb.org/resources/liturgical-calendar-dioceses-united-states-america
https://www.newadvent.org/cathen/06394b.htm
https://hallow.com/blog/how-to-pray-the-st-andrew-christmas-novena/</x:v>
      </x:c>
      <x:c r="O341" s="115" t="e">
        <x:f>HYPERLINK("https://bible.usccb.org/bible/readings/120626.cfm","Open official USCCB readings ↗")</x:f>
        <x:v>HYPERLINK is not implemented. linkLocation=https://bible.usccb.org/bible/readings/120626.cfm, friendlyName=Open official USCCB readings ↗</x:v>
      </x:c>
    </x:row>
    <x:row r="342">
      <x:c r="A342" s="40" t="n">
        <x:v>46363</x:v>
      </x:c>
      <x:c r="B342" s="41" t="str">
        <x:v>Monday</x:v>
      </x:c>
      <x:c r="C342" s="68" t="str">
        <x:v>Advent</x:v>
      </x:c>
      <x:c r="D342" s="41" t="str">
        <x:v>Saint Ambrose</x:v>
      </x:c>
      <x:c r="E342" s="41" t="str">
        <x:v>Memorial</x:v>
      </x:c>
      <x:c r="F342" s="48" t="str">
        <x:v>Saint Ambrose [Memorial]</x:v>
      </x:c>
      <x:c r="G342" s="42" t="str">
        <x:v>✦ 🙏 🌹 🕯</x:v>
      </x:c>
      <x:c r="H342" s="42" t="str"/>
      <x:c r="I342" s="54" t="str">
        <x:v>🌹 Immaculate Conception Novena — Day 9/9 [END]
🙏 St. Andrew Christmas Novena / Christmas Anticipation Prayer — Day 8/25</x:v>
      </x:c>
      <x:c r="J342" s="42" t="str"/>
      <x:c r="K342" s="58" t="str">
        <x:v>🕯 St. Martin's Lent / historical Advent fast</x:v>
      </x:c>
      <x:c r="L342" s="42" t="str"/>
      <x:c r="M342" s="42" t="str"/>
      <x:c r="N342" s="42" t="str">
        <x:v>https://www.usccb.org/resources/2026cal.pdf
https://www.usccb.org/resources/liturgical-calendar-dioceses-united-states-america
https://www.newadvent.org/cathen/06394b.htm
https://hallow.com/blog/how-to-pray-the-st-andrew-christmas-novena/</x:v>
      </x:c>
      <x:c r="O342" s="115" t="e">
        <x:f>HYPERLINK("https://bible.usccb.org/bible/readings/120726.cfm","Open official USCCB readings ↗")</x:f>
        <x:v>HYPERLINK is not implemented. linkLocation=https://bible.usccb.org/bible/readings/120726.cfm, friendlyName=Open official USCCB readings ↗</x:v>
      </x:c>
    </x:row>
    <x:row r="343">
      <x:c r="A343" s="40" t="n">
        <x:v>46364</x:v>
      </x:c>
      <x:c r="B343" s="41" t="str">
        <x:v>Tuesday</x:v>
      </x:c>
      <x:c r="C343" s="68" t="str">
        <x:v>Advent</x:v>
      </x:c>
      <x:c r="D343" s="41" t="str">
        <x:v>Immaculate Conception of the Blessed Virgin Mary</x:v>
      </x:c>
      <x:c r="E343" s="41" t="str">
        <x:v>Solemnity</x:v>
      </x:c>
      <x:c r="F343" s="48" t="str">
        <x:v>Immaculate Conception of the Blessed Virgin Mary [Solemnity]</x:v>
      </x:c>
      <x:c r="G343" s="42" t="str">
        <x:v>★ 🌹 ⛪ 🕯 🙏</x:v>
      </x:c>
      <x:c r="H343" s="52" t="str">
        <x:v>⛪ Holy Day of Obligation — Immaculate Conception</x:v>
      </x:c>
      <x:c r="I343" s="54" t="str">
        <x:v>🙏 St. Andrew Christmas Novena / Christmas Anticipation Prayer — Day 9/25</x:v>
      </x:c>
      <x:c r="J343" s="42" t="str"/>
      <x:c r="K343" s="58" t="str">
        <x:v>🕯 St. Martin's Lent / historical Advent fast</x:v>
      </x:c>
      <x:c r="L343" s="42" t="str"/>
      <x:c r="M343" s="42" t="str"/>
      <x:c r="N343" s="42" t="str">
        <x:v>https://www.usccb.org/resources/2026cal.pdf
https://www.usccb.org/beliefs-and-teachings/what-we-believe/canon-law/complementary-norms/canon-1246
https://www.newadvent.org/cathen/06394b.htm
https://hallow.com/blog/how-to-pray-the-st-andrew-christmas-novena/</x:v>
      </x:c>
      <x:c r="O343" s="115" t="e">
        <x:f>HYPERLINK("https://bible.usccb.org/bible/readings/120826.cfm","Open official USCCB readings ↗")</x:f>
        <x:v>HYPERLINK is not implemented. linkLocation=https://bible.usccb.org/bible/readings/120826.cfm, friendlyName=Open official USCCB readings ↗</x:v>
      </x:c>
    </x:row>
    <x:row r="344">
      <x:c r="A344" s="40" t="n">
        <x:v>46365</x:v>
      </x:c>
      <x:c r="B344" s="41" t="str">
        <x:v>Wednesday</x:v>
      </x:c>
      <x:c r="C344" s="68" t="str">
        <x:v>Advent</x:v>
      </x:c>
      <x:c r="D344" s="41" t="str">
        <x:v>Advent Weekday</x:v>
      </x:c>
      <x:c r="E344" s="41" t="str">
        <x:v>Weekday</x:v>
      </x:c>
      <x:c r="F344" s="42" t="str">
        <x:v>Saint Juan Diego [Optional Memorial]</x:v>
      </x:c>
      <x:c r="G344" s="42" t="str">
        <x:v>✦ 🕯 🙏</x:v>
      </x:c>
      <x:c r="H344" s="42" t="str"/>
      <x:c r="I344" s="54" t="str">
        <x:v>🙏 St. Andrew Christmas Novena / Christmas Anticipation Prayer — Day 10/25</x:v>
      </x:c>
      <x:c r="J344" s="42" t="str"/>
      <x:c r="K344" s="58" t="str">
        <x:v>🕯 St. Martin's Lent / historical Advent fast</x:v>
      </x:c>
      <x:c r="L344" s="42" t="str"/>
      <x:c r="M344" s="42" t="str"/>
      <x:c r="N344" s="42" t="str">
        <x:v>https://www.usccb.org/resources/2026cal.pdf
https://www.newadvent.org/cathen/06394b.htm
https://hallow.com/blog/how-to-pray-the-st-andrew-christmas-novena/</x:v>
      </x:c>
      <x:c r="O344" s="115" t="e">
        <x:f>HYPERLINK("https://bible.usccb.org/bible/readings/120926.cfm","Open official USCCB readings ↗")</x:f>
        <x:v>HYPERLINK is not implemented. linkLocation=https://bible.usccb.org/bible/readings/120926.cfm, friendlyName=Open official USCCB readings ↗</x:v>
      </x:c>
    </x:row>
    <x:row r="345">
      <x:c r="A345" s="40" t="n">
        <x:v>46366</x:v>
      </x:c>
      <x:c r="B345" s="41" t="str">
        <x:v>Thursday</x:v>
      </x:c>
      <x:c r="C345" s="68" t="str">
        <x:v>Advent</x:v>
      </x:c>
      <x:c r="D345" s="41" t="str">
        <x:v>Advent Weekday</x:v>
      </x:c>
      <x:c r="E345" s="41" t="str">
        <x:v>Weekday</x:v>
      </x:c>
      <x:c r="F345" s="48" t="str">
        <x:v>Our Lady of Loreto [Optional Memorial]</x:v>
      </x:c>
      <x:c r="G345" s="42" t="str">
        <x:v>🌹 🕯 🙏</x:v>
      </x:c>
      <x:c r="H345" s="42" t="str"/>
      <x:c r="I345" s="54" t="str">
        <x:v>🙏 St. Andrew Christmas Novena / Christmas Anticipation Prayer — Day 11/25</x:v>
      </x:c>
      <x:c r="J345" s="42" t="str"/>
      <x:c r="K345" s="58" t="str">
        <x:v>🕯 St. Martin's Lent / historical Advent fast</x:v>
      </x:c>
      <x:c r="L345" s="42" t="str"/>
      <x:c r="M345" s="42" t="str"/>
      <x:c r="N345" s="42" t="str">
        <x:v>https://www.usccb.org/resources/2026cal.pdf
https://www.newadvent.org/cathen/06394b.htm
https://hallow.com/blog/how-to-pray-the-st-andrew-christmas-novena/</x:v>
      </x:c>
      <x:c r="O345" s="115" t="e">
        <x:f>HYPERLINK("https://bible.usccb.org/bible/readings/121026.cfm","Open official USCCB readings ↗")</x:f>
        <x:v>HYPERLINK is not implemented. linkLocation=https://bible.usccb.org/bible/readings/121026.cfm, friendlyName=Open official USCCB readings ↗</x:v>
      </x:c>
    </x:row>
    <x:row r="346">
      <x:c r="A346" s="40" t="n">
        <x:v>46367</x:v>
      </x:c>
      <x:c r="B346" s="41" t="str">
        <x:v>Friday</x:v>
      </x:c>
      <x:c r="C346" s="68" t="str">
        <x:v>Advent</x:v>
      </x:c>
      <x:c r="D346" s="41" t="str">
        <x:v>Advent Weekday</x:v>
      </x:c>
      <x:c r="E346" s="41" t="str">
        <x:v>Weekday</x:v>
      </x:c>
      <x:c r="F346" s="42" t="str">
        <x:v>Saint Damasus I [Optional Memorial]</x:v>
      </x:c>
      <x:c r="G346" s="42" t="str">
        <x:v>✦ Ⓟ 🕯 🙏</x:v>
      </x:c>
      <x:c r="H346" s="42" t="str"/>
      <x:c r="I346" s="54" t="str">
        <x:v>🙏 St. Andrew Christmas Novena / Christmas Anticipation Prayer — Day 12/25</x:v>
      </x:c>
      <x:c r="J346" s="56" t="str">
        <x:v>Friday penance — outside Lent, U.S. Catholics may choose an appropriate penitential practice</x:v>
      </x:c>
      <x:c r="K346" s="58" t="str">
        <x:v>🕯 St. Martin's Lent / historical Advent fast</x:v>
      </x:c>
      <x:c r="L346" s="42" t="str"/>
      <x:c r="M346" s="42" t="str"/>
      <x:c r="N346" s="42" t="str">
        <x:v>https://www.usccb.org/resources/2026cal.pdf
https://www.usccb.org/prayer-and-worship/liturgical-year-and-calendar/lent/catholic-information-on-lenten-fast-and-abstinence
https://www.newadvent.org/cathen/06394b.htm
https://hallow.com/blog/how-to-pray-the-st-andrew-christmas-novena/</x:v>
      </x:c>
      <x:c r="O346" s="115" t="e">
        <x:f>HYPERLINK("https://bible.usccb.org/bible/readings/121126.cfm","Open official USCCB readings ↗")</x:f>
        <x:v>HYPERLINK is not implemented. linkLocation=https://bible.usccb.org/bible/readings/121126.cfm, friendlyName=Open official USCCB readings ↗</x:v>
      </x:c>
    </x:row>
    <x:row r="347">
      <x:c r="A347" s="40" t="n">
        <x:v>46368</x:v>
      </x:c>
      <x:c r="B347" s="41" t="str">
        <x:v>Saturday</x:v>
      </x:c>
      <x:c r="C347" s="68" t="str">
        <x:v>Advent</x:v>
      </x:c>
      <x:c r="D347" s="41" t="str">
        <x:v>Our Lady of Guadalupe</x:v>
      </x:c>
      <x:c r="E347" s="41" t="str">
        <x:v>Feast</x:v>
      </x:c>
      <x:c r="F347" s="48" t="str">
        <x:v>Our Lady of Guadalupe [Feast]</x:v>
      </x:c>
      <x:c r="G347" s="42" t="str">
        <x:v>★ 🌹 🕯 🙏</x:v>
      </x:c>
      <x:c r="H347" s="42" t="str"/>
      <x:c r="I347" s="54" t="str">
        <x:v>🙏 St. Andrew Christmas Novena / Christmas Anticipation Prayer — Day 13/25</x:v>
      </x:c>
      <x:c r="J347" s="42" t="str"/>
      <x:c r="K347" s="58" t="str">
        <x:v>🕯 St. Martin's Lent / historical Advent fast</x:v>
      </x:c>
      <x:c r="L347" s="42" t="str"/>
      <x:c r="M347" s="42" t="str"/>
      <x:c r="N347" s="42" t="str">
        <x:v>https://www.usccb.org/resources/2026cal.pdf
https://www.newadvent.org/cathen/06394b.htm
https://hallow.com/blog/how-to-pray-the-st-andrew-christmas-novena/</x:v>
      </x:c>
      <x:c r="O347" s="115" t="e">
        <x:f>HYPERLINK("https://bible.usccb.org/bible/readings/121226.cfm","Open official USCCB readings ↗")</x:f>
        <x:v>HYPERLINK is not implemented. linkLocation=https://bible.usccb.org/bible/readings/121226.cfm, friendlyName=Open official USCCB readings ↗</x:v>
      </x:c>
    </x:row>
    <x:row r="348">
      <x:c r="A348" s="40" t="n">
        <x:v>46369</x:v>
      </x:c>
      <x:c r="B348" s="41" t="str">
        <x:v>Sunday</x:v>
      </x:c>
      <x:c r="C348" s="68" t="str">
        <x:v>Advent</x:v>
      </x:c>
      <x:c r="D348" s="41" t="str">
        <x:v>Third Sunday of Advent — Gaudete</x:v>
      </x:c>
      <x:c r="E348" s="41" t="str">
        <x:v>Sunday</x:v>
      </x:c>
      <x:c r="F348" s="42" t="str">
        <x:v>Saint Lucy [Memorial]</x:v>
      </x:c>
      <x:c r="G348" s="42" t="str">
        <x:v>✦ ⛪ 🕯 🙏</x:v>
      </x:c>
      <x:c r="H348" s="52" t="str">
        <x:v>⛪ Sunday Mass obligation</x:v>
      </x:c>
      <x:c r="I348" s="54" t="str">
        <x:v>🙏 St. Andrew Christmas Novena / Christmas Anticipation Prayer — Day 14/25</x:v>
      </x:c>
      <x:c r="J348" s="42" t="str"/>
      <x:c r="K348" s="58" t="str">
        <x:v>🕯 St. Martin's Lent / historical Advent fast</x:v>
      </x:c>
      <x:c r="L348" s="42" t="str"/>
      <x:c r="M348" s="42" t="str">
        <x:v>A fixed observance also falls today, but the Sunday or higher-ranking celebration takes liturgical precedence.</x:v>
      </x:c>
      <x:c r="N348" s="42" t="str">
        <x:v>https://www.usccb.org/resources/2026cal.pdf
https://www.usccb.org/beliefs-and-teachings/what-we-believe/canon-law/complementary-norms/canon-1246
https://www.newadvent.org/cathen/06394b.htm
https://hallow.com/blog/how-to-pray-the-st-andrew-christmas-novena/</x:v>
      </x:c>
      <x:c r="O348" s="115" t="e">
        <x:f>HYPERLINK("https://bible.usccb.org/bible/readings/121326.cfm","Open official USCCB readings ↗")</x:f>
        <x:v>HYPERLINK is not implemented. linkLocation=https://bible.usccb.org/bible/readings/121326.cfm, friendlyName=Open official USCCB readings ↗</x:v>
      </x:c>
    </x:row>
    <x:row r="349">
      <x:c r="A349" s="40" t="n">
        <x:v>46370</x:v>
      </x:c>
      <x:c r="B349" s="41" t="str">
        <x:v>Monday</x:v>
      </x:c>
      <x:c r="C349" s="68" t="str">
        <x:v>Advent</x:v>
      </x:c>
      <x:c r="D349" s="41" t="str">
        <x:v>Saint John of the Cross</x:v>
      </x:c>
      <x:c r="E349" s="41" t="str">
        <x:v>Memorial</x:v>
      </x:c>
      <x:c r="F349" s="42" t="str">
        <x:v>Saint John of the Cross [Memorial]</x:v>
      </x:c>
      <x:c r="G349" s="42" t="str">
        <x:v>✦ 🕯 🙏</x:v>
      </x:c>
      <x:c r="H349" s="42" t="str"/>
      <x:c r="I349" s="54" t="str">
        <x:v>🙏 St. Andrew Christmas Novena / Christmas Anticipation Prayer — Day 15/25</x:v>
      </x:c>
      <x:c r="J349" s="42" t="str"/>
      <x:c r="K349" s="58" t="str">
        <x:v>🕯 St. Martin's Lent / historical Advent fast</x:v>
      </x:c>
      <x:c r="L349" s="42" t="str"/>
      <x:c r="M349" s="42" t="str"/>
      <x:c r="N349" s="42" t="str">
        <x:v>https://www.usccb.org/resources/2026cal.pdf
https://www.newadvent.org/cathen/06394b.htm
https://hallow.com/blog/how-to-pray-the-st-andrew-christmas-novena/</x:v>
      </x:c>
      <x:c r="O349" s="115" t="e">
        <x:f>HYPERLINK("https://bible.usccb.org/bible/readings/121426.cfm","Open official USCCB readings ↗")</x:f>
        <x:v>HYPERLINK is not implemented. linkLocation=https://bible.usccb.org/bible/readings/121426.cfm, friendlyName=Open official USCCB readings ↗</x:v>
      </x:c>
    </x:row>
    <x:row r="350">
      <x:c r="A350" s="40" t="n">
        <x:v>46371</x:v>
      </x:c>
      <x:c r="B350" s="41" t="str">
        <x:v>Tuesday</x:v>
      </x:c>
      <x:c r="C350" s="68" t="str">
        <x:v>Advent</x:v>
      </x:c>
      <x:c r="D350" s="41" t="str">
        <x:v>Advent Weekday</x:v>
      </x:c>
      <x:c r="E350" s="41" t="str">
        <x:v>Weekday</x:v>
      </x:c>
      <x:c r="F350" s="42" t="str"/>
      <x:c r="G350" s="42" t="str">
        <x:v>🕯 🙏</x:v>
      </x:c>
      <x:c r="H350" s="42" t="str"/>
      <x:c r="I350" s="54" t="str">
        <x:v>🙏 St. Andrew Christmas Novena / Christmas Anticipation Prayer — Day 16/25</x:v>
      </x:c>
      <x:c r="J350" s="42" t="str"/>
      <x:c r="K350" s="58" t="str">
        <x:v>🕯 St. Martin's Lent / historical Advent fast</x:v>
      </x:c>
      <x:c r="L350" s="42" t="str"/>
      <x:c r="M350" s="42" t="str"/>
      <x:c r="N350" s="42" t="str">
        <x:v>https://www.usccb.org/resources/2026cal.pdf
https://www.newadvent.org/cathen/06394b.htm
https://hallow.com/blog/how-to-pray-the-st-andrew-christmas-novena/</x:v>
      </x:c>
      <x:c r="O350" s="115" t="e">
        <x:f>HYPERLINK("https://bible.usccb.org/bible/readings/121526.cfm","Open official USCCB readings ↗")</x:f>
        <x:v>HYPERLINK is not implemented. linkLocation=https://bible.usccb.org/bible/readings/121526.cfm, friendlyName=Open official USCCB readings ↗</x:v>
      </x:c>
    </x:row>
    <x:row r="351">
      <x:c r="A351" s="40" t="n">
        <x:v>46372</x:v>
      </x:c>
      <x:c r="B351" s="41" t="str">
        <x:v>Wednesday</x:v>
      </x:c>
      <x:c r="C351" s="68" t="str">
        <x:v>Advent</x:v>
      </x:c>
      <x:c r="D351" s="41" t="str">
        <x:v>Advent Weekday</x:v>
      </x:c>
      <x:c r="E351" s="41" t="str">
        <x:v>Weekday</x:v>
      </x:c>
      <x:c r="F351" s="42" t="str"/>
      <x:c r="G351" s="42" t="str">
        <x:v>🙏 🕯</x:v>
      </x:c>
      <x:c r="H351" s="42" t="str"/>
      <x:c r="I351" s="54" t="str">
        <x:v>🙏 Christmas Novena / Simbang Gabi window — Day 1/9 [START]
🙏 St. Andrew Christmas Novena / Christmas Anticipation Prayer — Day 17/25</x:v>
      </x:c>
      <x:c r="J351" s="42" t="str"/>
      <x:c r="K351" s="58" t="str">
        <x:v>🕯 Traditional Ember Day
🕯 St. Martin's Lent / historical Advent fast</x:v>
      </x:c>
      <x:c r="L351" s="42" t="str"/>
      <x:c r="M351" s="42" t="str"/>
      <x:c r="N351" s="42" t="str">
        <x:v>https://www.usccb.org/resources/2026cal.pdf
https://www.usccb.org/resources/Dio-of-San-Diego-Simbang-Gabi-Dec-2018.pdf
https://www.newadvent.org/cathen/05399b.htm
https://www.newadvent.org/cathen/06394b.htm
https://hallow.com/blog/how-to-pray-the-st-andrew-christmas-novena/</x:v>
      </x:c>
      <x:c r="O351" s="115" t="e">
        <x:f>HYPERLINK("https://bible.usccb.org/bible/readings/121626.cfm","Open official USCCB readings ↗")</x:f>
        <x:v>HYPERLINK is not implemented. linkLocation=https://bible.usccb.org/bible/readings/121626.cfm, friendlyName=Open official USCCB readings ↗</x:v>
      </x:c>
    </x:row>
    <x:row r="352">
      <x:c r="A352" s="40" t="n">
        <x:v>46373</x:v>
      </x:c>
      <x:c r="B352" s="41" t="str">
        <x:v>Thursday</x:v>
      </x:c>
      <x:c r="C352" s="68" t="str">
        <x:v>Advent</x:v>
      </x:c>
      <x:c r="D352" s="41" t="str">
        <x:v>Advent Weekday</x:v>
      </x:c>
      <x:c r="E352" s="41" t="str">
        <x:v>Weekday</x:v>
      </x:c>
      <x:c r="F352" s="42" t="str"/>
      <x:c r="G352" s="42" t="str">
        <x:v>🙏 🕯</x:v>
      </x:c>
      <x:c r="H352" s="42" t="str"/>
      <x:c r="I352" s="54" t="str">
        <x:v>🙏 Christmas Novena / Simbang Gabi window — Day 2/9
🙏 O Antiphons — Day 1/7 [START]
🙏 St. Andrew Christmas Novena / Christmas Anticipation Prayer — Day 18/25</x:v>
      </x:c>
      <x:c r="J352" s="42" t="str"/>
      <x:c r="K352" s="58" t="str">
        <x:v>🕯 St. Martin's Lent / historical Advent fast</x:v>
      </x:c>
      <x:c r="L352" s="42" t="str"/>
      <x:c r="M352" s="42" t="str"/>
      <x:c r="N352" s="42" t="str">
        <x:v>https://www.usccb.org/resources/2026cal.pdf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2" s="115" t="e">
        <x:f>HYPERLINK("https://bible.usccb.org/bible/readings/121726.cfm","Open official USCCB readings ↗")</x:f>
        <x:v>HYPERLINK is not implemented. linkLocation=https://bible.usccb.org/bible/readings/121726.cfm, friendlyName=Open official USCCB readings ↗</x:v>
      </x:c>
    </x:row>
    <x:row r="353">
      <x:c r="A353" s="40" t="n">
        <x:v>46374</x:v>
      </x:c>
      <x:c r="B353" s="41" t="str">
        <x:v>Friday</x:v>
      </x:c>
      <x:c r="C353" s="68" t="str">
        <x:v>Advent</x:v>
      </x:c>
      <x:c r="D353" s="41" t="str">
        <x:v>Advent Weekday</x:v>
      </x:c>
      <x:c r="E353" s="41" t="str">
        <x:v>Weekday</x:v>
      </x:c>
      <x:c r="F353" s="42" t="str"/>
      <x:c r="G353" s="42" t="str">
        <x:v>🙏 Ⓟ 🕯</x:v>
      </x:c>
      <x:c r="H353" s="42" t="str"/>
      <x:c r="I353" s="54" t="str">
        <x:v>🙏 Christmas Novena / Simbang Gabi window — Day 3/9
🙏 O Antiphons — Day 2/7
🙏 St. Andrew Christmas Novena / Christmas Anticipation Prayer — Day 19/25</x:v>
      </x:c>
      <x:c r="J353" s="56" t="str">
        <x:v>Friday penance — outside Lent, U.S. Catholics may choose an appropriate penitential practice</x:v>
      </x:c>
      <x:c r="K353" s="58" t="str">
        <x:v>🕯 Traditional Ember Day
🕯 St. Martin's Lent / historical Advent fast</x:v>
      </x:c>
      <x:c r="L353" s="42" t="str"/>
      <x:c r="M353" s="42" t="str"/>
      <x:c r="N353" s="42" t="str">
        <x:v>https://www.usccb.org/resources/2026cal.pdf
https://www.usccb.org/resources/Dio-of-San-Diego-Simbang-Gabi-Dec-2018.pdf
https://www.usccb.org/prayers/o-antiphons-advent
https://www.usccb.org/prayer-and-worship/liturgical-year-and-calendar/lent/catholic-information-on-lenten-fast-and-abstinence
https://www.newadvent.org/cathen/05399b.htm
https://www.newadvent.org/cathen/06394b.htm
https://hallow.com/blog/how-to-pray-the-st-andrew-christmas-novena/</x:v>
      </x:c>
      <x:c r="O353" s="115" t="e">
        <x:f>HYPERLINK("https://bible.usccb.org/bible/readings/121826.cfm","Open official USCCB readings ↗")</x:f>
        <x:v>HYPERLINK is not implemented. linkLocation=https://bible.usccb.org/bible/readings/121826.cfm, friendlyName=Open official USCCB readings ↗</x:v>
      </x:c>
    </x:row>
    <x:row r="354">
      <x:c r="A354" s="40" t="n">
        <x:v>46375</x:v>
      </x:c>
      <x:c r="B354" s="41" t="str">
        <x:v>Saturday</x:v>
      </x:c>
      <x:c r="C354" s="68" t="str">
        <x:v>Advent</x:v>
      </x:c>
      <x:c r="D354" s="41" t="str">
        <x:v>Advent Weekday</x:v>
      </x:c>
      <x:c r="E354" s="41" t="str">
        <x:v>Weekday</x:v>
      </x:c>
      <x:c r="F354" s="42" t="str"/>
      <x:c r="G354" s="42" t="str">
        <x:v>🙏 🕯</x:v>
      </x:c>
      <x:c r="H354" s="42" t="str"/>
      <x:c r="I354" s="54" t="str">
        <x:v>🙏 Christmas Novena / Simbang Gabi window — Day 4/9
🙏 O Antiphons — Day 3/7
🙏 St. Andrew Christmas Novena / Christmas Anticipation Prayer — Day 20/25</x:v>
      </x:c>
      <x:c r="J354" s="42" t="str"/>
      <x:c r="K354" s="58" t="str">
        <x:v>🕯 Traditional Ember Day
🕯 St. Martin's Lent / historical Advent fast</x:v>
      </x:c>
      <x:c r="L354" s="42" t="str"/>
      <x:c r="M354" s="42" t="str"/>
      <x:c r="N354" s="42" t="str">
        <x:v>https://www.usccb.org/resources/2026cal.pdf
https://www.usccb.org/resources/Dio-of-San-Diego-Simbang-Gabi-Dec-2018.pdf
https://www.usccb.org/prayers/o-antiphons-advent
https://www.newadvent.org/cathen/05399b.htm
https://www.newadvent.org/cathen/06394b.htm
https://hallow.com/blog/how-to-pray-the-st-andrew-christmas-novena/</x:v>
      </x:c>
      <x:c r="O354" s="115" t="e">
        <x:f>HYPERLINK("https://bible.usccb.org/bible/readings/121926.cfm","Open official USCCB readings ↗")</x:f>
        <x:v>HYPERLINK is not implemented. linkLocation=https://bible.usccb.org/bible/readings/121926.cfm, friendlyName=Open official USCCB readings ↗</x:v>
      </x:c>
    </x:row>
    <x:row r="355">
      <x:c r="A355" s="40" t="n">
        <x:v>46376</x:v>
      </x:c>
      <x:c r="B355" s="41" t="str">
        <x:v>Sunday</x:v>
      </x:c>
      <x:c r="C355" s="68" t="str">
        <x:v>Advent</x:v>
      </x:c>
      <x:c r="D355" s="41" t="str">
        <x:v>Fourth Sunday of Advent</x:v>
      </x:c>
      <x:c r="E355" s="41" t="str">
        <x:v>Sunday</x:v>
      </x:c>
      <x:c r="F355" s="42" t="str"/>
      <x:c r="G355" s="42" t="str">
        <x:v>⛪ 🙏 🕯</x:v>
      </x:c>
      <x:c r="H355" s="52" t="str">
        <x:v>⛪ Sunday Mass obligation</x:v>
      </x:c>
      <x:c r="I355" s="54" t="str">
        <x:v>🙏 Christmas Novena / Simbang Gabi window — Day 5/9
🙏 O Antiphons — Day 4/7
🙏 St. Andrew Christmas Novena / Christmas Anticipation Prayer — Day 21/25</x:v>
      </x:c>
      <x:c r="J355" s="42" t="str"/>
      <x:c r="K355" s="58" t="str">
        <x:v>🕯 St. Martin's Lent / historical Advent fast</x:v>
      </x:c>
      <x:c r="L355" s="42" t="str"/>
      <x:c r="M355" s="42" t="str"/>
      <x:c r="N355" s="42" t="str">
        <x:v>https://www.usccb.org/resources/2026cal.pdf
https://www.usccb.org/beliefs-and-teachings/what-we-believe/canon-law/complementary-norms/canon-1246
https://www.usccb.org/resources/Dio-of-San-Diego-Simbang-Gabi-Dec-2018.pdf
https://www.usccb.org/prayers/o-antiphons-advent
https://www.newadvent.org/cathen/06394b.htm
https://hallow.com/blog/how-to-pray-the-st-andrew-christmas-novena/</x:v>
      </x:c>
      <x:c r="O355" s="115" t="e">
        <x:f>HYPERLINK("https://bible.usccb.org/bible/readings/122026.cfm","Open official USCCB readings ↗")</x:f>
        <x:v>HYPERLINK is not implemented. linkLocation=https://bible.usccb.org/bible/readings/122026.cfm, friendlyName=Open official USCCB readings ↗</x:v>
      </x:c>
    </x:row>
    <x:row r="356">
      <x:c r="A356" s="40" t="n">
        <x:v>46377</x:v>
      </x:c>
      <x:c r="B356" s="41" t="str">
        <x:v>Monday</x:v>
      </x:c>
      <x:c r="C356" s="68" t="str">
        <x:v>Advent</x:v>
      </x:c>
      <x:c r="D356" s="41" t="str">
        <x:v>Advent Weekday</x:v>
      </x:c>
      <x:c r="E356" s="41" t="str">
        <x:v>Weekday</x:v>
      </x:c>
      <x:c r="F356" s="42" t="str">
        <x:v>Saint Peter Canisius [Optional Memorial]</x:v>
      </x:c>
      <x:c r="G356" s="42" t="str">
        <x:v>✦ 🙏 🕯</x:v>
      </x:c>
      <x:c r="H356" s="42" t="str"/>
      <x:c r="I356" s="54" t="str">
        <x:v>🙏 Christmas Novena / Simbang Gabi window — Day 6/9
🙏 O Antiphons — Day 5/7
🙏 St. Andrew Christmas Novena / Christmas Anticipation Prayer — Day 22/25</x:v>
      </x:c>
      <x:c r="J356" s="42" t="str"/>
      <x:c r="K356" s="58" t="str">
        <x:v>🕯 St. Martin's Lent / historical Advent fast</x:v>
      </x:c>
      <x:c r="L356" s="42" t="str"/>
      <x:c r="M356" s="42" t="str"/>
      <x:c r="N356" s="42" t="str">
        <x:v>https://www.usccb.org/resources/2026cal.pdf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6" s="115" t="e">
        <x:f>HYPERLINK("https://bible.usccb.org/bible/readings/122126.cfm","Open official USCCB readings ↗")</x:f>
        <x:v>HYPERLINK is not implemented. linkLocation=https://bible.usccb.org/bible/readings/122126.cfm, friendlyName=Open official USCCB readings ↗</x:v>
      </x:c>
    </x:row>
    <x:row r="357">
      <x:c r="A357" s="40" t="n">
        <x:v>46378</x:v>
      </x:c>
      <x:c r="B357" s="41" t="str">
        <x:v>Tuesday</x:v>
      </x:c>
      <x:c r="C357" s="68" t="str">
        <x:v>Advent</x:v>
      </x:c>
      <x:c r="D357" s="41" t="str">
        <x:v>Advent Weekday</x:v>
      </x:c>
      <x:c r="E357" s="41" t="str">
        <x:v>Weekday</x:v>
      </x:c>
      <x:c r="F357" s="42" t="str"/>
      <x:c r="G357" s="42" t="str">
        <x:v>🙏 🕯</x:v>
      </x:c>
      <x:c r="H357" s="42" t="str"/>
      <x:c r="I357" s="54" t="str">
        <x:v>🙏 Christmas Novena / Simbang Gabi window — Day 7/9
🙏 O Antiphons — Day 6/7
🙏 St. Andrew Christmas Novena / Christmas Anticipation Prayer — Day 23/25</x:v>
      </x:c>
      <x:c r="J357" s="42" t="str"/>
      <x:c r="K357" s="58" t="str">
        <x:v>🕯 St. Martin's Lent / historical Advent fast</x:v>
      </x:c>
      <x:c r="L357" s="42" t="str"/>
      <x:c r="M357" s="42" t="str"/>
      <x:c r="N357" s="42" t="str">
        <x:v>https://www.usccb.org/resources/2026cal.pdf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7" s="115" t="e">
        <x:f>HYPERLINK("https://bible.usccb.org/bible/readings/122226.cfm","Open official USCCB readings ↗")</x:f>
        <x:v>HYPERLINK is not implemented. linkLocation=https://bible.usccb.org/bible/readings/122226.cfm, friendlyName=Open official USCCB readings ↗</x:v>
      </x:c>
    </x:row>
    <x:row r="358">
      <x:c r="A358" s="40" t="n">
        <x:v>46379</x:v>
      </x:c>
      <x:c r="B358" s="41" t="str">
        <x:v>Wednesday</x:v>
      </x:c>
      <x:c r="C358" s="68" t="str">
        <x:v>Advent</x:v>
      </x:c>
      <x:c r="D358" s="41" t="str">
        <x:v>Advent Weekday</x:v>
      </x:c>
      <x:c r="E358" s="41" t="str">
        <x:v>Weekday</x:v>
      </x:c>
      <x:c r="F358" s="42" t="str">
        <x:v>Saint John of Kanty [Optional Memorial]</x:v>
      </x:c>
      <x:c r="G358" s="42" t="str">
        <x:v>✦ 🙏 🕯</x:v>
      </x:c>
      <x:c r="H358" s="42" t="str"/>
      <x:c r="I358" s="54" t="str">
        <x:v>🙏 Christmas Novena / Simbang Gabi window — Day 8/9
🙏 O Antiphons — Day 7/7 [END]
🙏 St. Andrew Christmas Novena / Christmas Anticipation Prayer — Day 24/25</x:v>
      </x:c>
      <x:c r="J358" s="42" t="str"/>
      <x:c r="K358" s="58" t="str">
        <x:v>🕯 St. Martin's Lent / historical Advent fast</x:v>
      </x:c>
      <x:c r="L358" s="42" t="str"/>
      <x:c r="M358" s="42" t="str"/>
      <x:c r="N358" s="42" t="str">
        <x:v>https://www.usccb.org/resources/2026cal.pdf
https://www.usccb.org/resources/Dio-of-San-Diego-Simbang-Gabi-Dec-2018.pdf
https://www.usccb.org/prayers/o-antiphons-advent
https://www.newadvent.org/cathen/06394b.htm
https://hallow.com/blog/how-to-pray-the-st-andrew-christmas-novena/</x:v>
      </x:c>
      <x:c r="O358" s="115" t="e">
        <x:f>HYPERLINK("https://bible.usccb.org/bible/readings/122326.cfm","Open official USCCB readings ↗")</x:f>
        <x:v>HYPERLINK is not implemented. linkLocation=https://bible.usccb.org/bible/readings/122326.cfm, friendlyName=Open official USCCB readings ↗</x:v>
      </x:c>
    </x:row>
    <x:row r="359">
      <x:c r="A359" s="40" t="n">
        <x:v>46380</x:v>
      </x:c>
      <x:c r="B359" s="41" t="str">
        <x:v>Thursday</x:v>
      </x:c>
      <x:c r="C359" s="68" t="str">
        <x:v>Advent</x:v>
      </x:c>
      <x:c r="D359" s="41" t="str">
        <x:v>Advent Weekday</x:v>
      </x:c>
      <x:c r="E359" s="41" t="str">
        <x:v>Weekday</x:v>
      </x:c>
      <x:c r="F359" s="42" t="str"/>
      <x:c r="G359" s="42" t="str">
        <x:v>🙏 🕯</x:v>
      </x:c>
      <x:c r="H359" s="42" t="str"/>
      <x:c r="I359" s="54" t="str">
        <x:v>🙏 Christmas Novena / Simbang Gabi window — Day 9/9 [END]
🙏 St. Andrew Christmas Novena / Christmas Anticipation Prayer — Day 25/25 [END]</x:v>
      </x:c>
      <x:c r="J359" s="42" t="str"/>
      <x:c r="K359" s="58" t="str">
        <x:v>🕯 St. Martin's Lent / historical Advent fast</x:v>
      </x:c>
      <x:c r="L359" s="42" t="str"/>
      <x:c r="M359" s="42" t="str"/>
      <x:c r="N359" s="42" t="str">
        <x:v>https://www.usccb.org/resources/2026cal.pdf
https://www.usccb.org/resources/Dio-of-San-Diego-Simbang-Gabi-Dec-2018.pdf
https://www.newadvent.org/cathen/06394b.htm
https://hallow.com/blog/how-to-pray-the-st-andrew-christmas-novena/</x:v>
      </x:c>
      <x:c r="O359" s="115" t="e">
        <x:f>HYPERLINK("https://bible.usccb.org/bible/readings/122426.cfm","Open official USCCB readings ↗")</x:f>
        <x:v>HYPERLINK is not implemented. linkLocation=https://bible.usccb.org/bible/readings/122426.cfm, friendlyName=Open official USCCB readings ↗</x:v>
      </x:c>
    </x:row>
    <x:row r="360">
      <x:c r="A360" s="40" t="n">
        <x:v>46381</x:v>
      </x:c>
      <x:c r="B360" s="41" t="str">
        <x:v>Friday</x:v>
      </x:c>
      <x:c r="C360" s="46" t="str">
        <x:v>Christmas</x:v>
      </x:c>
      <x:c r="D360" s="41" t="str">
        <x:v>Nativity of the Lord (Christmas)</x:v>
      </x:c>
      <x:c r="E360" s="41" t="str">
        <x:v>Solemnity</x:v>
      </x:c>
      <x:c r="F360" s="42" t="str">
        <x:v>Nativity of the Lord (Christmas) [Solemnity]</x:v>
      </x:c>
      <x:c r="G360" s="42" t="str">
        <x:v>★ ✝ ⛪ Ⓟ</x:v>
      </x:c>
      <x:c r="H360" s="52" t="str">
        <x:v>⛪ Holy Day of Obligation — Christmas</x:v>
      </x:c>
      <x:c r="I360" s="42" t="str"/>
      <x:c r="J360" s="56" t="str">
        <x:v>Friday penance — outside Lent, U.S. Catholics may choose an appropriate penitential practice</x:v>
      </x:c>
      <x:c r="K360" s="42" t="str"/>
      <x:c r="L360" s="42" t="str"/>
      <x:c r="M360" s="42" t="str"/>
      <x:c r="N360" s="42" t="str">
        <x:v>https://www.usccb.org/resources/2026cal.pdf
https://www.usccb.org/beliefs-and-teachings/what-we-believe/canon-law/complementary-norms/canon-1246
https://www.usccb.org/prayer-and-worship/liturgical-year-and-calendar/lent/catholic-information-on-lenten-fast-and-abstinence</x:v>
      </x:c>
      <x:c r="O360" s="115" t="e">
        <x:f>HYPERLINK("https://bible.usccb.org/bible/readings/122526.cfm","Open official USCCB readings ↗")</x:f>
        <x:v>HYPERLINK is not implemented. linkLocation=https://bible.usccb.org/bible/readings/122526.cfm, friendlyName=Open official USCCB readings ↗</x:v>
      </x:c>
    </x:row>
    <x:row r="361">
      <x:c r="A361" s="40" t="n">
        <x:v>46382</x:v>
      </x:c>
      <x:c r="B361" s="41" t="str">
        <x:v>Saturday</x:v>
      </x:c>
      <x:c r="C361" s="46" t="str">
        <x:v>Christmas</x:v>
      </x:c>
      <x:c r="D361" s="41" t="str">
        <x:v>Saint Stephen, First Martyr</x:v>
      </x:c>
      <x:c r="E361" s="41" t="str">
        <x:v>Feast</x:v>
      </x:c>
      <x:c r="F361" s="42" t="str">
        <x:v>Saint Stephen, First Martyr [Feast]</x:v>
      </x:c>
      <x:c r="G361" s="42" t="str">
        <x:v>★ ✦</x:v>
      </x:c>
      <x:c r="H361" s="42" t="str"/>
      <x:c r="I361" s="42" t="str"/>
      <x:c r="J361" s="42" t="str"/>
      <x:c r="K361" s="42" t="str"/>
      <x:c r="L361" s="42" t="str"/>
      <x:c r="M361" s="42" t="str"/>
      <x:c r="N361" s="42" t="str">
        <x:v>https://www.usccb.org/resources/2026cal.pdf</x:v>
      </x:c>
      <x:c r="O361" s="115" t="e">
        <x:f>HYPERLINK("https://bible.usccb.org/bible/readings/122626.cfm","Open official USCCB readings ↗")</x:f>
        <x:v>HYPERLINK is not implemented. linkLocation=https://bible.usccb.org/bible/readings/122626.cfm, friendlyName=Open official USCCB readings ↗</x:v>
      </x:c>
    </x:row>
    <x:row r="362">
      <x:c r="A362" s="40" t="n">
        <x:v>46383</x:v>
      </x:c>
      <x:c r="B362" s="41" t="str">
        <x:v>Sunday</x:v>
      </x:c>
      <x:c r="C362" s="46" t="str">
        <x:v>Christmas</x:v>
      </x:c>
      <x:c r="D362" s="41" t="str">
        <x:v>Holy Family of Jesus, Mary and Joseph</x:v>
      </x:c>
      <x:c r="E362" s="41" t="str">
        <x:v>Feast</x:v>
      </x:c>
      <x:c r="F362" s="48" t="str">
        <x:v>Saint John, Apostle and Evangelist [Feast]</x:v>
      </x:c>
      <x:c r="G362" s="42" t="str">
        <x:v>★ ✝ 🌹 ✦ ⛪</x:v>
      </x:c>
      <x:c r="H362" s="52" t="str">
        <x:v>⛪ Sunday Mass obligation</x:v>
      </x:c>
      <x:c r="I362" s="42" t="str"/>
      <x:c r="J362" s="42" t="str"/>
      <x:c r="K362" s="42" t="str"/>
      <x:c r="L362" s="42" t="str"/>
      <x:c r="M362" s="42" t="str">
        <x:v>A fixed observance also falls today, but the Sunday or higher-ranking celebration takes liturgical precedence.</x:v>
      </x:c>
      <x:c r="N362" s="42" t="str">
        <x:v>https://www.usccb.org/resources/2026cal.pdf
https://www.usccb.org/beliefs-and-teachings/what-we-believe/canon-law/complementary-norms/canon-1246</x:v>
      </x:c>
      <x:c r="O362" s="115" t="e">
        <x:f>HYPERLINK("https://bible.usccb.org/bible/readings/122726.cfm","Open official USCCB readings ↗")</x:f>
        <x:v>HYPERLINK is not implemented. linkLocation=https://bible.usccb.org/bible/readings/122726.cfm, friendlyName=Open official USCCB readings ↗</x:v>
      </x:c>
    </x:row>
    <x:row r="363">
      <x:c r="A363" s="40" t="n">
        <x:v>46384</x:v>
      </x:c>
      <x:c r="B363" s="41" t="str">
        <x:v>Monday</x:v>
      </x:c>
      <x:c r="C363" s="46" t="str">
        <x:v>Christmas</x:v>
      </x:c>
      <x:c r="D363" s="41" t="str">
        <x:v>Holy Innocents, Martyrs</x:v>
      </x:c>
      <x:c r="E363" s="41" t="str">
        <x:v>Feast</x:v>
      </x:c>
      <x:c r="F363" s="42" t="str">
        <x:v>Holy Innocents, Martyrs [Feast]</x:v>
      </x:c>
      <x:c r="G363" s="42" t="str">
        <x:v>★ ✦</x:v>
      </x:c>
      <x:c r="H363" s="42" t="str"/>
      <x:c r="I363" s="42" t="str"/>
      <x:c r="J363" s="42" t="str"/>
      <x:c r="K363" s="42" t="str"/>
      <x:c r="L363" s="42" t="str"/>
      <x:c r="M363" s="42" t="str"/>
      <x:c r="N363" s="42" t="str">
        <x:v>https://www.usccb.org/resources/2026cal.pdf</x:v>
      </x:c>
      <x:c r="O363" s="115" t="e">
        <x:f>HYPERLINK("https://bible.usccb.org/bible/readings/122826.cfm","Open official USCCB readings ↗")</x:f>
        <x:v>HYPERLINK is not implemented. linkLocation=https://bible.usccb.org/bible/readings/122826.cfm, friendlyName=Open official USCCB readings ↗</x:v>
      </x:c>
    </x:row>
    <x:row r="364">
      <x:c r="A364" s="40" t="n">
        <x:v>46385</x:v>
      </x:c>
      <x:c r="B364" s="41" t="str">
        <x:v>Tuesday</x:v>
      </x:c>
      <x:c r="C364" s="46" t="str">
        <x:v>Christmas</x:v>
      </x:c>
      <x:c r="D364" s="41" t="str">
        <x:v>Christmas Weekday</x:v>
      </x:c>
      <x:c r="E364" s="41" t="str">
        <x:v>Weekday</x:v>
      </x:c>
      <x:c r="F364" s="42" t="str">
        <x:v>Saint Thomas Becket [Optional Memorial]</x:v>
      </x:c>
      <x:c r="G364" s="42" t="str">
        <x:v>✦</x:v>
      </x:c>
      <x:c r="H364" s="42" t="str"/>
      <x:c r="I364" s="42" t="str"/>
      <x:c r="J364" s="42" t="str"/>
      <x:c r="K364" s="42" t="str"/>
      <x:c r="L364" s="42" t="str"/>
      <x:c r="M364" s="42" t="str"/>
      <x:c r="N364" s="42" t="str">
        <x:v>https://www.usccb.org/resources/2026cal.pdf</x:v>
      </x:c>
      <x:c r="O364" s="115" t="e">
        <x:f>HYPERLINK("https://bible.usccb.org/bible/readings/122926.cfm","Open official USCCB readings ↗")</x:f>
        <x:v>HYPERLINK is not implemented. linkLocation=https://bible.usccb.org/bible/readings/122926.cfm, friendlyName=Open official USCCB readings ↗</x:v>
      </x:c>
    </x:row>
    <x:row r="365">
      <x:c r="A365" s="40" t="n">
        <x:v>46386</x:v>
      </x:c>
      <x:c r="B365" s="41" t="str">
        <x:v>Wednesday</x:v>
      </x:c>
      <x:c r="C365" s="46" t="str">
        <x:v>Christmas</x:v>
      </x:c>
      <x:c r="D365" s="41" t="str">
        <x:v>Christmas Weekday</x:v>
      </x:c>
      <x:c r="E365" s="41" t="str">
        <x:v>Weekday</x:v>
      </x:c>
      <x:c r="F365" s="42" t="str"/>
      <x:c r="G365" s="42" t="str"/>
      <x:c r="H365" s="42" t="str"/>
      <x:c r="I365" s="42" t="str"/>
      <x:c r="J365" s="42" t="str"/>
      <x:c r="K365" s="42" t="str"/>
      <x:c r="L365" s="42" t="str"/>
      <x:c r="M365" s="42" t="str"/>
      <x:c r="N365" s="42" t="str">
        <x:v>https://www.usccb.org/resources/2026cal.pdf</x:v>
      </x:c>
      <x:c r="O365" s="115" t="e">
        <x:f>HYPERLINK("https://bible.usccb.org/bible/readings/123026.cfm","Open official USCCB readings ↗")</x:f>
        <x:v>HYPERLINK is not implemented. linkLocation=https://bible.usccb.org/bible/readings/123026.cfm, friendlyName=Open official USCCB readings ↗</x:v>
      </x:c>
    </x:row>
    <x:row r="366">
      <x:c r="A366" s="40" t="n">
        <x:v>46387</x:v>
      </x:c>
      <x:c r="B366" s="41" t="str">
        <x:v>Thursday</x:v>
      </x:c>
      <x:c r="C366" s="46" t="str">
        <x:v>Christmas</x:v>
      </x:c>
      <x:c r="D366" s="41" t="str">
        <x:v>Christmas Weekday</x:v>
      </x:c>
      <x:c r="E366" s="41" t="str">
        <x:v>Weekday</x:v>
      </x:c>
      <x:c r="F366" s="42" t="str">
        <x:v>Saint Sylvester I [Optional Memorial]</x:v>
      </x:c>
      <x:c r="G366" s="42" t="str">
        <x:v>✦</x:v>
      </x:c>
      <x:c r="H366" s="42" t="str"/>
      <x:c r="I366" s="42" t="str"/>
      <x:c r="J366" s="42" t="str"/>
      <x:c r="K366" s="42" t="str"/>
      <x:c r="L366" s="42" t="str"/>
      <x:c r="M366" s="42" t="str"/>
      <x:c r="N366" s="42" t="str">
        <x:v>https://www.usccb.org/resources/2026cal.pdf</x:v>
      </x:c>
      <x:c r="O366" s="115" t="e">
        <x:f>HYPERLINK("https://bible.usccb.org/bible/readings/123126.cfm","Open official USCCB readings ↗")</x:f>
        <x:v>HYPERLINK is not implemented. linkLocation=https://bible.usccb.org/bible/readings/123126.cfm, friendlyName=Open official USCCB readings ↗</x:v>
      </x:c>
    </x:row>
  </x:sheetData>
  <x:pageMargins left="0.7" right="0.7" top="0.75" bottom="0.75" header="0.3" footer="0.3"/>
  <x:tableParts count="1">
    <x:tablePart xmlns:r="http://schemas.openxmlformats.org/officeDocument/2006/relationships" r:id="Ra243d5052c8946d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6" hidden="0" customWidth="1"/>
    <x:col min="4" max="4" width="36" hidden="0" customWidth="1"/>
    <x:col min="5" max="5" width="16" hidden="0" customWidth="1"/>
    <x:col min="6" max="6" width="48" hidden="0" customWidth="1"/>
    <x:col min="7" max="7" width="14" hidden="0" customWidth="1"/>
    <x:col min="8" max="8" width="36" hidden="0" customWidth="1"/>
    <x:col min="9" max="9" width="54" hidden="0" customWidth="1"/>
    <x:col min="10" max="10" width="44" hidden="0" customWidth="1"/>
    <x:col min="11" max="11" width="50" hidden="0" customWidth="1"/>
    <x:col min="12" max="12" width="34" hidden="0" customWidth="1"/>
    <x:col min="13" max="13" width="58" hidden="0" customWidth="1"/>
    <x:col min="14" max="14" width="58" hidden="0" customWidth="1"/>
    <x:col min="15" max="15" width="27" hidden="0" customWidth="1"/>
  </x:cols>
  <x:sheetData>
    <x:row r="1">
      <x:c r="A1" s="72" t="str">
        <x:v>Date</x:v>
      </x:c>
      <x:c r="B1" s="72" t="str">
        <x:v>Day</x:v>
      </x:c>
      <x:c r="C1" s="72" t="str">
        <x:v>Liturgical Season</x:v>
      </x:c>
      <x:c r="D1" s="72" t="str">
        <x:v>Primary Liturgy</x:v>
      </x:c>
      <x:c r="E1" s="72" t="str">
        <x:v>Rank</x:v>
      </x:c>
      <x:c r="F1" s="72" t="str">
        <x:v>Saint / Marian / Other Observances</x:v>
      </x:c>
      <x:c r="G1" s="72" t="str">
        <x:v>Tags</x:v>
      </x:c>
      <x:c r="H1" s="72" t="str">
        <x:v>Mass Obligation</x:v>
      </x:c>
      <x:c r="I1" s="72" t="str">
        <x:v>Devotions / Novenas</x:v>
      </x:c>
      <x:c r="J1" s="72" t="str">
        <x:v>Penance / Practice</x:v>
      </x:c>
      <x:c r="K1" s="72" t="str">
        <x:v>Traditional / Historical</x:v>
      </x:c>
      <x:c r="L1" s="72" t="str">
        <x:v>Popular / Extra</x:v>
      </x:c>
      <x:c r="M1" s="72" t="str">
        <x:v>Notes</x:v>
      </x:c>
      <x:c r="N1" s="72" t="str">
        <x:v>Source URLs</x:v>
      </x:c>
      <x:c r="O1" s="118" t="str">
        <x:v>Mass Readings (USCCB)</x:v>
      </x:c>
    </x:row>
    <x:row r="2">
      <x:c r="A2" s="38" t="n">
        <x:v>46023</x:v>
      </x:c>
      <x:c r="B2" t="str">
        <x:v>Thursday</x:v>
      </x:c>
      <x:c r="C2" s="24" t="str">
        <x:v>Christmas</x:v>
      </x:c>
      <x:c r="D2" t="str">
        <x:v>Mary, the Holy Mother of God</x:v>
      </x:c>
      <x:c r="E2" t="str">
        <x:v>Solemnity</x:v>
      </x:c>
      <x:c r="F2" s="76" t="str">
        <x:v>Mary, the Holy Mother of God [Solemnity]</x:v>
      </x:c>
      <x:c r="G2" s="14" t="str">
        <x:v>★ 🌹 ⛪</x:v>
      </x:c>
      <x:c r="H2" s="78" t="str">
        <x:v>⛪ Holy Day of Obligation — Mary, Mother of God</x:v>
      </x:c>
      <x:c r="I2" s="14" t="str"/>
      <x:c r="J2" s="14" t="str"/>
      <x:c r="K2" s="14" t="str"/>
      <x:c r="L2" s="14" t="str"/>
      <x:c r="M2" s="14" t="str"/>
      <x:c r="N2" s="14" t="str">
        <x:v>https://www.usccb.org/resources/2026cal.pdf
https://www.usccb.org/beliefs-and-teachings/what-we-believe/canon-law/complementary-norms/canon-1246</x:v>
      </x:c>
      <x:c r="O2" s="115" t="e">
        <x:f>HYPERLINK("https://bible.usccb.org/bible/readings/010126.cfm","USCCB readings ↗")</x:f>
        <x:v>HYPERLINK is not implemented. linkLocation=https://bible.usccb.org/bible/readings/010126.cfm, friendlyName=USCCB readings ↗</x:v>
      </x:c>
    </x:row>
    <x:row r="3">
      <x:c r="A3" s="38" t="n">
        <x:v>46024</x:v>
      </x:c>
      <x:c r="B3" t="str">
        <x:v>Friday</x:v>
      </x:c>
      <x:c r="C3" s="24" t="str">
        <x:v>Christmas</x:v>
      </x:c>
      <x:c r="D3" t="str">
        <x:v>Saints Basil the Great and Gregory Nazianzen</x:v>
      </x:c>
      <x:c r="E3" t="str">
        <x:v>Memorial</x:v>
      </x:c>
      <x:c r="F3" s="14" t="str">
        <x:v>Saints Basil the Great and Gregory Nazianzen [Memorial]</x:v>
      </x:c>
      <x:c r="G3" s="14" t="str">
        <x:v>✦ 🙏 Ⓟ</x:v>
      </x:c>
      <x:c r="H3" s="14" t="str"/>
      <x:c r="I3" s="80" t="str">
        <x:v>❤ First Friday — Sacred Heart devotion</x:v>
      </x:c>
      <x:c r="J3" s="82" t="str">
        <x:v>Friday penance — outside Lent, U.S. Catholics may choose an appropriate penitential practice</x:v>
      </x:c>
      <x:c r="K3" s="14" t="str"/>
      <x:c r="L3" s="14" t="str"/>
      <x:c r="M3" s="14" t="str"/>
      <x:c r="N3" s="14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3" s="115" t="e">
        <x:f>HYPERLINK("https://bible.usccb.org/bible/readings/010226.cfm","USCCB readings ↗")</x:f>
        <x:v>HYPERLINK is not implemented. linkLocation=https://bible.usccb.org/bible/readings/010226.cfm, friendlyName=USCCB readings ↗</x:v>
      </x:c>
    </x:row>
    <x:row r="4">
      <x:c r="A4" s="38" t="n">
        <x:v>46025</x:v>
      </x:c>
      <x:c r="B4" t="str">
        <x:v>Saturday</x:v>
      </x:c>
      <x:c r="C4" s="24" t="str">
        <x:v>Christmas</x:v>
      </x:c>
      <x:c r="D4" t="str">
        <x:v>Christmas Weekday</x:v>
      </x:c>
      <x:c r="E4" t="str">
        <x:v>Weekday</x:v>
      </x:c>
      <x:c r="F4" s="76" t="str">
        <x:v>Most Holy Name of Jesus [Optional Memorial]</x:v>
      </x:c>
      <x:c r="G4" s="14" t="str">
        <x:v>✝ 🙏 🌹</x:v>
      </x:c>
      <x:c r="H4" s="14" t="str"/>
      <x:c r="I4" s="80" t="str">
        <x:v>🌹 First Saturday — Immaculate Heart devotion</x:v>
      </x:c>
      <x:c r="J4" s="14" t="str"/>
      <x:c r="K4" s="14" t="str"/>
      <x:c r="L4" s="14" t="str"/>
      <x:c r="M4" s="14" t="str"/>
      <x:c r="N4" s="14" t="str">
        <x:v>https://www.usccb.org/resources/2026cal.pdf
https://www.ewtn.com/catholicism/library/revelation-of-the-immaculate-heart-at-fatima-in-1917-5465</x:v>
      </x:c>
      <x:c r="O4" s="115" t="e">
        <x:f>HYPERLINK("https://bible.usccb.org/bible/readings/010326.cfm","USCCB readings ↗")</x:f>
        <x:v>HYPERLINK is not implemented. linkLocation=https://bible.usccb.org/bible/readings/010326.cfm, friendlyName=USCCB readings ↗</x:v>
      </x:c>
    </x:row>
    <x:row r="5">
      <x:c r="A5" s="38" t="n">
        <x:v>46026</x:v>
      </x:c>
      <x:c r="B5" t="str">
        <x:v>Sunday</x:v>
      </x:c>
      <x:c r="C5" s="24" t="str">
        <x:v>Christmas</x:v>
      </x:c>
      <x:c r="D5" t="str">
        <x:v>Epiphany of the Lord</x:v>
      </x:c>
      <x:c r="E5" t="str">
        <x:v>Solemnity</x:v>
      </x:c>
      <x:c r="F5" s="14" t="str">
        <x:v>Saint Elizabeth Ann Seton [Memorial]</x:v>
      </x:c>
      <x:c r="G5" s="14" t="str">
        <x:v>★ ✝ ✦ ⛪</x:v>
      </x:c>
      <x:c r="H5" s="78" t="str">
        <x:v>⛪ Sunday Mass obligation</x:v>
      </x:c>
      <x:c r="I5" s="14" t="str"/>
      <x:c r="J5" s="14" t="str"/>
      <x:c r="K5" s="14" t="str"/>
      <x:c r="L5" s="14" t="str"/>
      <x:c r="M5" s="14" t="str">
        <x:v>A fixed observance also falls today, but the Sunday or higher-ranking celebration takes liturgical precedence.</x:v>
      </x:c>
      <x:c r="N5" s="14" t="str">
        <x:v>https://www.usccb.org/resources/2026cal.pdf
https://www.usccb.org/beliefs-and-teachings/what-we-believe/canon-law/complementary-norms/canon-1246</x:v>
      </x:c>
      <x:c r="O5" s="115" t="e">
        <x:f>HYPERLINK("https://bible.usccb.org/bible/readings/010426.cfm","USCCB readings ↗")</x:f>
        <x:v>HYPERLINK is not implemented. linkLocation=https://bible.usccb.org/bible/readings/010426.cfm, friendlyName=USCCB readings ↗</x:v>
      </x:c>
    </x:row>
    <x:row r="6">
      <x:c r="A6" s="38" t="n">
        <x:v>46027</x:v>
      </x:c>
      <x:c r="B6" t="str">
        <x:v>Monday</x:v>
      </x:c>
      <x:c r="C6" s="24" t="str">
        <x:v>Christmas</x:v>
      </x:c>
      <x:c r="D6" t="str">
        <x:v>Saint John Neumann</x:v>
      </x:c>
      <x:c r="E6" t="str">
        <x:v>Memorial</x:v>
      </x:c>
      <x:c r="F6" s="14" t="str">
        <x:v>Saint John Neumann [Memorial]</x:v>
      </x:c>
      <x:c r="G6" s="14" t="str">
        <x:v>✦</x:v>
      </x:c>
      <x:c r="H6" s="14" t="str"/>
      <x:c r="I6" s="14" t="str"/>
      <x:c r="J6" s="14" t="str"/>
      <x:c r="K6" s="14" t="str"/>
      <x:c r="L6" s="14" t="str"/>
      <x:c r="M6" s="14" t="str"/>
      <x:c r="N6" s="14" t="str">
        <x:v>https://www.usccb.org/resources/2026cal.pdf</x:v>
      </x:c>
      <x:c r="O6" s="115" t="e">
        <x:f>HYPERLINK("https://bible.usccb.org/bible/readings/010526.cfm","USCCB readings ↗")</x:f>
        <x:v>HYPERLINK is not implemented. linkLocation=https://bible.usccb.org/bible/readings/010526.cfm, friendlyName=USCCB readings ↗</x:v>
      </x:c>
    </x:row>
    <x:row r="7">
      <x:c r="A7" s="38" t="n">
        <x:v>46028</x:v>
      </x:c>
      <x:c r="B7" t="str">
        <x:v>Tuesday</x:v>
      </x:c>
      <x:c r="C7" s="24" t="str">
        <x:v>Christmas</x:v>
      </x:c>
      <x:c r="D7" t="str">
        <x:v>Christmas Weekday</x:v>
      </x:c>
      <x:c r="E7" t="str">
        <x:v>Weekday</x:v>
      </x:c>
      <x:c r="F7" s="14" t="str">
        <x:v>Saint André Bessette [Optional Memorial]</x:v>
      </x:c>
      <x:c r="G7" s="14" t="str">
        <x:v>✦</x:v>
      </x:c>
      <x:c r="H7" s="14" t="str"/>
      <x:c r="I7" s="14" t="str"/>
      <x:c r="J7" s="14" t="str"/>
      <x:c r="K7" s="14" t="str"/>
      <x:c r="L7" s="14" t="str"/>
      <x:c r="M7" s="14" t="str"/>
      <x:c r="N7" s="14" t="str">
        <x:v>https://www.usccb.org/resources/2026cal.pdf</x:v>
      </x:c>
      <x:c r="O7" s="115" t="e">
        <x:f>HYPERLINK("https://bible.usccb.org/bible/readings/010626.cfm","USCCB readings ↗")</x:f>
        <x:v>HYPERLINK is not implemented. linkLocation=https://bible.usccb.org/bible/readings/010626.cfm, friendlyName=USCCB readings ↗</x:v>
      </x:c>
    </x:row>
    <x:row r="8">
      <x:c r="A8" s="38" t="n">
        <x:v>46029</x:v>
      </x:c>
      <x:c r="B8" t="str">
        <x:v>Wednesday</x:v>
      </x:c>
      <x:c r="C8" s="24" t="str">
        <x:v>Christmas</x:v>
      </x:c>
      <x:c r="D8" t="str">
        <x:v>Christmas Weekday</x:v>
      </x:c>
      <x:c r="E8" t="str">
        <x:v>Weekday</x:v>
      </x:c>
      <x:c r="F8" s="14" t="str">
        <x:v>Saint Raymond of Penyafort [Optional Memorial]</x:v>
      </x:c>
      <x:c r="G8" s="14" t="str">
        <x:v>✦ 🕯</x:v>
      </x:c>
      <x:c r="H8" s="14" t="str"/>
      <x:c r="I8" s="14" t="str"/>
      <x:c r="J8" s="14" t="str"/>
      <x:c r="K8" s="84" t="str">
        <x:v>🕯 Franciscan post-Epiphany Lent — historical Franciscan practice</x:v>
      </x:c>
      <x:c r="L8" s="14" t="str"/>
      <x:c r="M8" s="14" t="str"/>
      <x:c r="N8" s="14" t="str">
        <x:v>https://www.usccb.org/resources/2026cal.pdf
https://www.franciscantradition.org/blog/the-five-lents-of-francis-vjkyuy/</x:v>
      </x:c>
      <x:c r="O8" s="115" t="e">
        <x:f>HYPERLINK("https://bible.usccb.org/bible/readings/010726.cfm","USCCB readings ↗")</x:f>
        <x:v>HYPERLINK is not implemented. linkLocation=https://bible.usccb.org/bible/readings/010726.cfm, friendlyName=USCCB readings ↗</x:v>
      </x:c>
    </x:row>
    <x:row r="9">
      <x:c r="A9" s="38" t="n">
        <x:v>46030</x:v>
      </x:c>
      <x:c r="B9" t="str">
        <x:v>Thursday</x:v>
      </x:c>
      <x:c r="C9" s="24" t="str">
        <x:v>Christmas</x:v>
      </x:c>
      <x:c r="D9" t="str">
        <x:v>Christmas Weekday</x:v>
      </x:c>
      <x:c r="E9" t="str">
        <x:v>Weekday</x:v>
      </x:c>
      <x:c r="F9" s="14" t="str"/>
      <x:c r="G9" s="14" t="str">
        <x:v>🕯</x:v>
      </x:c>
      <x:c r="H9" s="14" t="str"/>
      <x:c r="I9" s="14" t="str"/>
      <x:c r="J9" s="14" t="str"/>
      <x:c r="K9" s="84" t="str">
        <x:v>🕯 Franciscan post-Epiphany Lent — historical Franciscan practice</x:v>
      </x:c>
      <x:c r="L9" s="14" t="str"/>
      <x:c r="M9" s="14" t="str"/>
      <x:c r="N9" s="14" t="str">
        <x:v>https://www.usccb.org/resources/2026cal.pdf
https://www.franciscantradition.org/blog/the-five-lents-of-francis-vjkyuy/</x:v>
      </x:c>
      <x:c r="O9" s="115" t="e">
        <x:f>HYPERLINK("https://bible.usccb.org/bible/readings/010826.cfm","USCCB readings ↗")</x:f>
        <x:v>HYPERLINK is not implemented. linkLocation=https://bible.usccb.org/bible/readings/010826.cfm, friendlyName=USCCB readings ↗</x:v>
      </x:c>
    </x:row>
    <x:row r="10">
      <x:c r="A10" s="38" t="n">
        <x:v>46031</x:v>
      </x:c>
      <x:c r="B10" t="str">
        <x:v>Friday</x:v>
      </x:c>
      <x:c r="C10" s="24" t="str">
        <x:v>Christmas</x:v>
      </x:c>
      <x:c r="D10" t="str">
        <x:v>Christmas Weekday</x:v>
      </x:c>
      <x:c r="E10" t="str">
        <x:v>Weekday</x:v>
      </x:c>
      <x:c r="F10" s="14" t="str"/>
      <x:c r="G10" s="14" t="str">
        <x:v>Ⓟ 🕯</x:v>
      </x:c>
      <x:c r="H10" s="14" t="str"/>
      <x:c r="I10" s="14" t="str"/>
      <x:c r="J10" s="82" t="str">
        <x:v>Friday penance — outside Lent, U.S. Catholics may choose an appropriate penitential practice</x:v>
      </x:c>
      <x:c r="K10" s="84" t="str">
        <x:v>🕯 Franciscan post-Epiphany Lent — historical Franciscan practice</x:v>
      </x:c>
      <x:c r="L10" s="14" t="str"/>
      <x:c r="M10" s="14" t="str"/>
      <x:c r="N10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0" s="115" t="e">
        <x:f>HYPERLINK("https://bible.usccb.org/bible/readings/010926.cfm","USCCB readings ↗")</x:f>
        <x:v>HYPERLINK is not implemented. linkLocation=https://bible.usccb.org/bible/readings/010926.cfm, friendlyName=USCCB readings ↗</x:v>
      </x:c>
    </x:row>
    <x:row r="11">
      <x:c r="A11" s="38" t="n">
        <x:v>46032</x:v>
      </x:c>
      <x:c r="B11" t="str">
        <x:v>Saturday</x:v>
      </x:c>
      <x:c r="C11" s="24" t="str">
        <x:v>Christmas</x:v>
      </x:c>
      <x:c r="D11" t="str">
        <x:v>Christmas Weekday</x:v>
      </x:c>
      <x:c r="E11" t="str">
        <x:v>Weekday</x:v>
      </x:c>
      <x:c r="F11" s="14" t="str"/>
      <x:c r="G11" s="14" t="str">
        <x:v>🕯</x:v>
      </x:c>
      <x:c r="H11" s="14" t="str"/>
      <x:c r="I11" s="14" t="str"/>
      <x:c r="J11" s="14" t="str"/>
      <x:c r="K11" s="84" t="str">
        <x:v>🕯 Franciscan post-Epiphany Lent — historical Franciscan practice</x:v>
      </x:c>
      <x:c r="L11" s="14" t="str"/>
      <x:c r="M11" s="14" t="str"/>
      <x:c r="N11" s="14" t="str">
        <x:v>https://www.usccb.org/resources/2026cal.pdf
https://www.franciscantradition.org/blog/the-five-lents-of-francis-vjkyuy/</x:v>
      </x:c>
      <x:c r="O11" s="115" t="e">
        <x:f>HYPERLINK("https://bible.usccb.org/bible/readings/011026.cfm","USCCB readings ↗")</x:f>
        <x:v>HYPERLINK is not implemented. linkLocation=https://bible.usccb.org/bible/readings/011026.cfm, friendlyName=USCCB readings ↗</x:v>
      </x:c>
    </x:row>
    <x:row r="12">
      <x:c r="A12" s="38" t="n">
        <x:v>46033</x:v>
      </x:c>
      <x:c r="B12" t="str">
        <x:v>Sunday</x:v>
      </x:c>
      <x:c r="C12" s="24" t="str">
        <x:v>Christmas</x:v>
      </x:c>
      <x:c r="D12" t="str">
        <x:v>Baptism of the Lord</x:v>
      </x:c>
      <x:c r="E12" t="str">
        <x:v>Feast</x:v>
      </x:c>
      <x:c r="F12" s="14" t="str"/>
      <x:c r="G12" s="14" t="str">
        <x:v>★ ✝ ⛪ 🕯</x:v>
      </x:c>
      <x:c r="H12" s="78" t="str">
        <x:v>⛪ Sunday Mass obligation</x:v>
      </x:c>
      <x:c r="I12" s="14" t="str"/>
      <x:c r="J12" s="14" t="str"/>
      <x:c r="K12" s="84" t="str">
        <x:v>🕯 Franciscan post-Epiphany Lent — historical Franciscan practice</x:v>
      </x:c>
      <x:c r="L12" s="14" t="str"/>
      <x:c r="M12" s="14" t="str"/>
      <x:c r="N12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2" s="115" t="e">
        <x:f>HYPERLINK("https://bible.usccb.org/bible/readings/011126.cfm","USCCB readings ↗")</x:f>
        <x:v>HYPERLINK is not implemented. linkLocation=https://bible.usccb.org/bible/readings/011126.cfm, friendlyName=USCCB readings ↗</x:v>
      </x:c>
    </x:row>
    <x:row r="13">
      <x:c r="A13" s="38" t="n">
        <x:v>46034</x:v>
      </x:c>
      <x:c r="B13" t="str">
        <x:v>Monday</x:v>
      </x:c>
      <x:c r="C13" s="20" t="str">
        <x:v>Ordinary Time</x:v>
      </x:c>
      <x:c r="D13" t="str">
        <x:v>Weekday in Ordinary Time</x:v>
      </x:c>
      <x:c r="E13" t="str">
        <x:v>Weekday</x:v>
      </x:c>
      <x:c r="F13" s="14" t="str"/>
      <x:c r="G13" s="14" t="str">
        <x:v>🕯</x:v>
      </x:c>
      <x:c r="H13" s="14" t="str"/>
      <x:c r="I13" s="14" t="str"/>
      <x:c r="J13" s="14" t="str"/>
      <x:c r="K13" s="84" t="str">
        <x:v>🕯 Franciscan post-Epiphany Lent — historical Franciscan practice</x:v>
      </x:c>
      <x:c r="L13" s="14" t="str"/>
      <x:c r="M13" s="14" t="str"/>
      <x:c r="N13" s="14" t="str">
        <x:v>https://www.usccb.org/resources/2026cal.pdf
https://www.franciscantradition.org/blog/the-five-lents-of-francis-vjkyuy/</x:v>
      </x:c>
      <x:c r="O13" s="115" t="e">
        <x:f>HYPERLINK("https://bible.usccb.org/bible/readings/011226.cfm","USCCB readings ↗")</x:f>
        <x:v>HYPERLINK is not implemented. linkLocation=https://bible.usccb.org/bible/readings/011226.cfm, friendlyName=USCCB readings ↗</x:v>
      </x:c>
    </x:row>
    <x:row r="14">
      <x:c r="A14" s="38" t="n">
        <x:v>46035</x:v>
      </x:c>
      <x:c r="B14" t="str">
        <x:v>Tuesday</x:v>
      </x:c>
      <x:c r="C14" s="20" t="str">
        <x:v>Ordinary Time</x:v>
      </x:c>
      <x:c r="D14" t="str">
        <x:v>Weekday in Ordinary Time</x:v>
      </x:c>
      <x:c r="E14" t="str">
        <x:v>Weekday</x:v>
      </x:c>
      <x:c r="F14" s="14" t="str">
        <x:v>Saint Hilary [Optional Memorial]</x:v>
      </x:c>
      <x:c r="G14" s="14" t="str">
        <x:v>✦ 🕯</x:v>
      </x:c>
      <x:c r="H14" s="14" t="str"/>
      <x:c r="I14" s="14" t="str"/>
      <x:c r="J14" s="14" t="str"/>
      <x:c r="K14" s="84" t="str">
        <x:v>🕯 Franciscan post-Epiphany Lent — historical Franciscan practice</x:v>
      </x:c>
      <x:c r="L14" s="14" t="str"/>
      <x:c r="M14" s="14" t="str"/>
      <x:c r="N14" s="14" t="str">
        <x:v>https://www.usccb.org/resources/2026cal.pdf
https://www.franciscantradition.org/blog/the-five-lents-of-francis-vjkyuy/</x:v>
      </x:c>
      <x:c r="O14" s="115" t="e">
        <x:f>HYPERLINK("https://bible.usccb.org/bible/readings/011326.cfm","USCCB readings ↗")</x:f>
        <x:v>HYPERLINK is not implemented. linkLocation=https://bible.usccb.org/bible/readings/011326.cfm, friendlyName=USCCB readings ↗</x:v>
      </x:c>
    </x:row>
    <x:row r="15">
      <x:c r="A15" s="38" t="n">
        <x:v>46036</x:v>
      </x:c>
      <x:c r="B15" t="str">
        <x:v>Wednesday</x:v>
      </x:c>
      <x:c r="C15" s="20" t="str">
        <x:v>Ordinary Time</x:v>
      </x:c>
      <x:c r="D15" t="str">
        <x:v>Weekday in Ordinary Time</x:v>
      </x:c>
      <x:c r="E15" t="str">
        <x:v>Weekday</x:v>
      </x:c>
      <x:c r="F15" s="14" t="str"/>
      <x:c r="G15" s="14" t="str">
        <x:v>🕯</x:v>
      </x:c>
      <x:c r="H15" s="14" t="str"/>
      <x:c r="I15" s="14" t="str"/>
      <x:c r="J15" s="14" t="str"/>
      <x:c r="K15" s="84" t="str">
        <x:v>🕯 Franciscan post-Epiphany Lent — historical Franciscan practice</x:v>
      </x:c>
      <x:c r="L15" s="14" t="str"/>
      <x:c r="M15" s="14" t="str"/>
      <x:c r="N15" s="14" t="str">
        <x:v>https://www.usccb.org/resources/2026cal.pdf
https://www.franciscantradition.org/blog/the-five-lents-of-francis-vjkyuy/</x:v>
      </x:c>
      <x:c r="O15" s="115" t="e">
        <x:f>HYPERLINK("https://bible.usccb.org/bible/readings/011426.cfm","USCCB readings ↗")</x:f>
        <x:v>HYPERLINK is not implemented. linkLocation=https://bible.usccb.org/bible/readings/011426.cfm, friendlyName=USCCB readings ↗</x:v>
      </x:c>
    </x:row>
    <x:row r="16">
      <x:c r="A16" s="38" t="n">
        <x:v>46037</x:v>
      </x:c>
      <x:c r="B16" t="str">
        <x:v>Thursday</x:v>
      </x:c>
      <x:c r="C16" s="20" t="str">
        <x:v>Ordinary Time</x:v>
      </x:c>
      <x:c r="D16" t="str">
        <x:v>Weekday in Ordinary Time</x:v>
      </x:c>
      <x:c r="E16" t="str">
        <x:v>Weekday</x:v>
      </x:c>
      <x:c r="F16" s="14" t="str"/>
      <x:c r="G16" s="14" t="str">
        <x:v>🕯</x:v>
      </x:c>
      <x:c r="H16" s="14" t="str"/>
      <x:c r="I16" s="14" t="str"/>
      <x:c r="J16" s="14" t="str"/>
      <x:c r="K16" s="84" t="str">
        <x:v>🕯 Franciscan post-Epiphany Lent — historical Franciscan practice</x:v>
      </x:c>
      <x:c r="L16" s="14" t="str"/>
      <x:c r="M16" s="14" t="str"/>
      <x:c r="N16" s="14" t="str">
        <x:v>https://www.usccb.org/resources/2026cal.pdf
https://www.franciscantradition.org/blog/the-five-lents-of-francis-vjkyuy/</x:v>
      </x:c>
      <x:c r="O16" s="115" t="e">
        <x:f>HYPERLINK("https://bible.usccb.org/bible/readings/011526.cfm","USCCB readings ↗")</x:f>
        <x:v>HYPERLINK is not implemented. linkLocation=https://bible.usccb.org/bible/readings/011526.cfm, friendlyName=USCCB readings ↗</x:v>
      </x:c>
    </x:row>
    <x:row r="17">
      <x:c r="A17" s="38" t="n">
        <x:v>46038</x:v>
      </x:c>
      <x:c r="B17" t="str">
        <x:v>Friday</x:v>
      </x:c>
      <x:c r="C17" s="20" t="str">
        <x:v>Ordinary Time</x:v>
      </x:c>
      <x:c r="D17" t="str">
        <x:v>Weekday in Ordinary Time</x:v>
      </x:c>
      <x:c r="E17" t="str">
        <x:v>Weekday</x:v>
      </x:c>
      <x:c r="F17" s="14" t="str"/>
      <x:c r="G17" s="14" t="str">
        <x:v>Ⓟ 🕯</x:v>
      </x:c>
      <x:c r="H17" s="14" t="str"/>
      <x:c r="I17" s="14" t="str"/>
      <x:c r="J17" s="82" t="str">
        <x:v>Friday penance — outside Lent, U.S. Catholics may choose an appropriate penitential practice</x:v>
      </x:c>
      <x:c r="K17" s="84" t="str">
        <x:v>🕯 Franciscan post-Epiphany Lent — historical Franciscan practice</x:v>
      </x:c>
      <x:c r="L17" s="14" t="str"/>
      <x:c r="M17" s="14" t="str"/>
      <x:c r="N17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7" s="115" t="e">
        <x:f>HYPERLINK("https://bible.usccb.org/bible/readings/011626.cfm","USCCB readings ↗")</x:f>
        <x:v>HYPERLINK is not implemented. linkLocation=https://bible.usccb.org/bible/readings/011626.cfm, friendlyName=USCCB readings ↗</x:v>
      </x:c>
    </x:row>
    <x:row r="18">
      <x:c r="A18" s="38" t="n">
        <x:v>46039</x:v>
      </x:c>
      <x:c r="B18" t="str">
        <x:v>Saturday</x:v>
      </x:c>
      <x:c r="C18" s="20" t="str">
        <x:v>Ordinary Time</x:v>
      </x:c>
      <x:c r="D18" t="str">
        <x:v>Saint Anthony, Abbot</x:v>
      </x:c>
      <x:c r="E18" t="str">
        <x:v>Memorial</x:v>
      </x:c>
      <x:c r="F18" s="14" t="str">
        <x:v>Saint Anthony, Abbot [Memorial]</x:v>
      </x:c>
      <x:c r="G18" s="14" t="str">
        <x:v>✦ 🕯</x:v>
      </x:c>
      <x:c r="H18" s="14" t="str"/>
      <x:c r="I18" s="14" t="str"/>
      <x:c r="J18" s="14" t="str"/>
      <x:c r="K18" s="84" t="str">
        <x:v>🕯 Franciscan post-Epiphany Lent — historical Franciscan practice</x:v>
      </x:c>
      <x:c r="L18" s="14" t="str"/>
      <x:c r="M18" s="14" t="str"/>
      <x:c r="N18" s="14" t="str">
        <x:v>https://www.usccb.org/resources/2026cal.pdf
https://www.franciscantradition.org/blog/the-five-lents-of-francis-vjkyuy/</x:v>
      </x:c>
      <x:c r="O18" s="115" t="e">
        <x:f>HYPERLINK("https://bible.usccb.org/bible/readings/011726.cfm","USCCB readings ↗")</x:f>
        <x:v>HYPERLINK is not implemented. linkLocation=https://bible.usccb.org/bible/readings/011726.cfm, friendlyName=USCCB readings ↗</x:v>
      </x:c>
    </x:row>
    <x:row r="19">
      <x:c r="A19" s="38" t="n">
        <x:v>46040</x:v>
      </x:c>
      <x:c r="B19" t="str">
        <x:v>Sunday</x:v>
      </x:c>
      <x:c r="C19" s="20" t="str">
        <x:v>Ordinary Time</x:v>
      </x:c>
      <x:c r="D19" t="str">
        <x:v>Second Sunday in Ordinary Time</x:v>
      </x:c>
      <x:c r="E19" t="str">
        <x:v>Sunday</x:v>
      </x:c>
      <x:c r="F19" s="14" t="str"/>
      <x:c r="G19" s="14" t="str">
        <x:v>⛪ 🕯</x:v>
      </x:c>
      <x:c r="H19" s="78" t="str">
        <x:v>⛪ Sunday Mass obligation</x:v>
      </x:c>
      <x:c r="I19" s="14" t="str"/>
      <x:c r="J19" s="14" t="str"/>
      <x:c r="K19" s="84" t="str">
        <x:v>🕯 Franciscan post-Epiphany Lent — historical Franciscan practice</x:v>
      </x:c>
      <x:c r="L19" s="14" t="str"/>
      <x:c r="M19" s="14" t="str"/>
      <x:c r="N19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9" s="115" t="e">
        <x:f>HYPERLINK("https://bible.usccb.org/bible/readings/011826.cfm","USCCB readings ↗")</x:f>
        <x:v>HYPERLINK is not implemented. linkLocation=https://bible.usccb.org/bible/readings/011826.cfm, friendlyName=USCCB readings ↗</x:v>
      </x:c>
    </x:row>
    <x:row r="20">
      <x:c r="A20" s="38" t="n">
        <x:v>46041</x:v>
      </x:c>
      <x:c r="B20" t="str">
        <x:v>Monday</x:v>
      </x:c>
      <x:c r="C20" s="20" t="str">
        <x:v>Ordinary Time</x:v>
      </x:c>
      <x:c r="D20" t="str">
        <x:v>Weekday in Ordinary Time</x:v>
      </x:c>
      <x:c r="E20" t="str">
        <x:v>Weekday</x:v>
      </x:c>
      <x:c r="F20" s="14" t="str"/>
      <x:c r="G20" s="14" t="str">
        <x:v>🕯</x:v>
      </x:c>
      <x:c r="H20" s="14" t="str"/>
      <x:c r="I20" s="14" t="str"/>
      <x:c r="J20" s="14" t="str"/>
      <x:c r="K20" s="84" t="str">
        <x:v>🕯 Franciscan post-Epiphany Lent — historical Franciscan practice</x:v>
      </x:c>
      <x:c r="L20" s="14" t="str"/>
      <x:c r="M20" s="14" t="str"/>
      <x:c r="N20" s="14" t="str">
        <x:v>https://www.usccb.org/resources/2026cal.pdf
https://www.franciscantradition.org/blog/the-five-lents-of-francis-vjkyuy/</x:v>
      </x:c>
      <x:c r="O20" s="115" t="e">
        <x:f>HYPERLINK("https://bible.usccb.org/bible/readings/011926.cfm","USCCB readings ↗")</x:f>
        <x:v>HYPERLINK is not implemented. linkLocation=https://bible.usccb.org/bible/readings/011926.cfm, friendlyName=USCCB readings ↗</x:v>
      </x:c>
    </x:row>
    <x:row r="21">
      <x:c r="A21" s="38" t="n">
        <x:v>46042</x:v>
      </x:c>
      <x:c r="B21" t="str">
        <x:v>Tuesday</x:v>
      </x:c>
      <x:c r="C21" s="20" t="str">
        <x:v>Ordinary Time</x:v>
      </x:c>
      <x:c r="D21" t="str">
        <x:v>Weekday in Ordinary Time</x:v>
      </x:c>
      <x:c r="E21" t="str">
        <x:v>Weekday</x:v>
      </x:c>
      <x:c r="F21" s="14" t="str">
        <x:v>Saint Fabian; Saint Sebastian [Optional Memorial]</x:v>
      </x:c>
      <x:c r="G21" s="14" t="str">
        <x:v>✦ 🕯</x:v>
      </x:c>
      <x:c r="H21" s="14" t="str"/>
      <x:c r="I21" s="14" t="str"/>
      <x:c r="J21" s="14" t="str"/>
      <x:c r="K21" s="84" t="str">
        <x:v>🕯 Franciscan post-Epiphany Lent — historical Franciscan practice</x:v>
      </x:c>
      <x:c r="L21" s="14" t="str"/>
      <x:c r="M21" s="14" t="str"/>
      <x:c r="N21" s="14" t="str">
        <x:v>https://www.usccb.org/resources/2026cal.pdf
https://www.franciscantradition.org/blog/the-five-lents-of-francis-vjkyuy/</x:v>
      </x:c>
      <x:c r="O21" s="115" t="e">
        <x:f>HYPERLINK("https://bible.usccb.org/bible/readings/012026.cfm","USCCB readings ↗")</x:f>
        <x:v>HYPERLINK is not implemented. linkLocation=https://bible.usccb.org/bible/readings/012026.cfm, friendlyName=USCCB readings ↗</x:v>
      </x:c>
    </x:row>
    <x:row r="22">
      <x:c r="A22" s="38" t="n">
        <x:v>46043</x:v>
      </x:c>
      <x:c r="B22" t="str">
        <x:v>Wednesday</x:v>
      </x:c>
      <x:c r="C22" s="20" t="str">
        <x:v>Ordinary Time</x:v>
      </x:c>
      <x:c r="D22" t="str">
        <x:v>Saint Agnes</x:v>
      </x:c>
      <x:c r="E22" t="str">
        <x:v>Memorial</x:v>
      </x:c>
      <x:c r="F22" s="14" t="str">
        <x:v>Saint Agnes [Memorial]</x:v>
      </x:c>
      <x:c r="G22" s="14" t="str">
        <x:v>✦ 🕯</x:v>
      </x:c>
      <x:c r="H22" s="14" t="str"/>
      <x:c r="I22" s="14" t="str"/>
      <x:c r="J22" s="14" t="str"/>
      <x:c r="K22" s="84" t="str">
        <x:v>🕯 Franciscan post-Epiphany Lent — historical Franciscan practice</x:v>
      </x:c>
      <x:c r="L22" s="14" t="str"/>
      <x:c r="M22" s="14" t="str"/>
      <x:c r="N22" s="14" t="str">
        <x:v>https://www.usccb.org/resources/2026cal.pdf
https://www.franciscantradition.org/blog/the-five-lents-of-francis-vjkyuy/</x:v>
      </x:c>
      <x:c r="O22" s="115" t="e">
        <x:f>HYPERLINK("https://bible.usccb.org/bible/readings/012126.cfm","USCCB readings ↗")</x:f>
        <x:v>HYPERLINK is not implemented. linkLocation=https://bible.usccb.org/bible/readings/012126.cfm, friendlyName=USCCB readings ↗</x:v>
      </x:c>
    </x:row>
    <x:row r="23">
      <x:c r="A23" s="38" t="n">
        <x:v>46044</x:v>
      </x:c>
      <x:c r="B23" t="str">
        <x:v>Thursday</x:v>
      </x:c>
      <x:c r="C23" s="20" t="str">
        <x:v>Ordinary Time</x:v>
      </x:c>
      <x:c r="D23" t="str">
        <x:v>Weekday in Ordinary Time</x:v>
      </x:c>
      <x:c r="E23" t="str">
        <x:v>Weekday</x:v>
      </x:c>
      <x:c r="F23" s="14" t="str">
        <x:v>Day of Prayer for the Legal Protection of Unborn Children [Special Observance]</x:v>
      </x:c>
      <x:c r="G23" s="14" t="str">
        <x:v>🕯</x:v>
      </x:c>
      <x:c r="H23" s="14" t="str"/>
      <x:c r="I23" s="14" t="str"/>
      <x:c r="J23" s="14" t="str"/>
      <x:c r="K23" s="84" t="str">
        <x:v>🕯 Franciscan post-Epiphany Lent — historical Franciscan practice</x:v>
      </x:c>
      <x:c r="L23" s="14" t="str"/>
      <x:c r="M23" s="14" t="str"/>
      <x:c r="N23" s="14" t="str">
        <x:v>https://www.usccb.org/resources/2026cal.pdf
https://www.franciscantradition.org/blog/the-five-lents-of-francis-vjkyuy/</x:v>
      </x:c>
      <x:c r="O23" s="115" t="e">
        <x:f>HYPERLINK("https://bible.usccb.org/bible/readings/012226.cfm","USCCB readings ↗")</x:f>
        <x:v>HYPERLINK is not implemented. linkLocation=https://bible.usccb.org/bible/readings/012226.cfm, friendlyName=USCCB readings ↗</x:v>
      </x:c>
    </x:row>
    <x:row r="24">
      <x:c r="A24" s="38" t="n">
        <x:v>46045</x:v>
      </x:c>
      <x:c r="B24" t="str">
        <x:v>Friday</x:v>
      </x:c>
      <x:c r="C24" s="20" t="str">
        <x:v>Ordinary Time</x:v>
      </x:c>
      <x:c r="D24" t="str">
        <x:v>Weekday in Ordinary Time</x:v>
      </x:c>
      <x:c r="E24" t="str">
        <x:v>Weekday</x:v>
      </x:c>
      <x:c r="F24" s="14" t="str">
        <x:v>Saint Vincent; Saint Marianne Cope [Optional Memorial]</x:v>
      </x:c>
      <x:c r="G24" s="14" t="str">
        <x:v>✦ Ⓟ 🕯</x:v>
      </x:c>
      <x:c r="H24" s="14" t="str"/>
      <x:c r="I24" s="14" t="str"/>
      <x:c r="J24" s="82" t="str">
        <x:v>Friday penance — outside Lent, U.S. Catholics may choose an appropriate penitential practice</x:v>
      </x:c>
      <x:c r="K24" s="84" t="str">
        <x:v>🕯 Franciscan post-Epiphany Lent — historical Franciscan practice</x:v>
      </x:c>
      <x:c r="L24" s="14" t="str"/>
      <x:c r="M24" s="14" t="str"/>
      <x:c r="N24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24" s="115" t="e">
        <x:f>HYPERLINK("https://bible.usccb.org/bible/readings/012326.cfm","USCCB readings ↗")</x:f>
        <x:v>HYPERLINK is not implemented. linkLocation=https://bible.usccb.org/bible/readings/012326.cfm, friendlyName=USCCB readings ↗</x:v>
      </x:c>
    </x:row>
    <x:row r="25">
      <x:c r="A25" s="38" t="n">
        <x:v>46046</x:v>
      </x:c>
      <x:c r="B25" t="str">
        <x:v>Saturday</x:v>
      </x:c>
      <x:c r="C25" s="20" t="str">
        <x:v>Ordinary Time</x:v>
      </x:c>
      <x:c r="D25" t="str">
        <x:v>Saint Francis de Sales</x:v>
      </x:c>
      <x:c r="E25" t="str">
        <x:v>Memorial</x:v>
      </x:c>
      <x:c r="F25" s="14" t="str">
        <x:v>Saint Francis de Sales [Memorial]</x:v>
      </x:c>
      <x:c r="G25" s="14" t="str">
        <x:v>✦ 🕯</x:v>
      </x:c>
      <x:c r="H25" s="14" t="str"/>
      <x:c r="I25" s="14" t="str"/>
      <x:c r="J25" s="14" t="str"/>
      <x:c r="K25" s="84" t="str">
        <x:v>🕯 Franciscan post-Epiphany Lent — historical Franciscan practice</x:v>
      </x:c>
      <x:c r="L25" s="14" t="str"/>
      <x:c r="M25" s="14" t="str"/>
      <x:c r="N25" s="14" t="str">
        <x:v>https://www.usccb.org/resources/2026cal.pdf
https://www.franciscantradition.org/blog/the-five-lents-of-francis-vjkyuy/</x:v>
      </x:c>
      <x:c r="O25" s="115" t="e">
        <x:f>HYPERLINK("https://bible.usccb.org/bible/readings/012426.cfm","USCCB readings ↗")</x:f>
        <x:v>HYPERLINK is not implemented. linkLocation=https://bible.usccb.org/bible/readings/012426.cfm, friendlyName=USCCB readings ↗</x:v>
      </x:c>
    </x:row>
    <x:row r="26">
      <x:c r="A26" s="38" t="n">
        <x:v>46047</x:v>
      </x:c>
      <x:c r="B26" t="str">
        <x:v>Sunday</x:v>
      </x:c>
      <x:c r="C26" s="20" t="str">
        <x:v>Ordinary Time</x:v>
      </x:c>
      <x:c r="D26" t="str">
        <x:v>Third Sunday in Ordinary Time</x:v>
      </x:c>
      <x:c r="E26" t="str">
        <x:v>Sunday</x:v>
      </x:c>
      <x:c r="F26" s="14" t="str">
        <x:v>Conversion of Saint Paul, Apostle [Feast]</x:v>
      </x:c>
      <x:c r="G26" s="14" t="str">
        <x:v>★ ✦ ⛪ 🕯</x:v>
      </x:c>
      <x:c r="H26" s="78" t="str">
        <x:v>⛪ Sunday Mass obligation</x:v>
      </x:c>
      <x:c r="I26" s="14" t="str"/>
      <x:c r="J26" s="14" t="str"/>
      <x:c r="K26" s="84" t="str">
        <x:v>🕯 Franciscan post-Epiphany Lent — historical Franciscan practice</x:v>
      </x:c>
      <x:c r="L26" s="14" t="str"/>
      <x:c r="M26" s="14" t="str">
        <x:v>A fixed observance also falls today, but the Sunday or higher-ranking celebration takes liturgical precedence.</x:v>
      </x:c>
      <x:c r="N26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26" s="115" t="e">
        <x:f>HYPERLINK("https://bible.usccb.org/bible/readings/012526.cfm","USCCB readings ↗")</x:f>
        <x:v>HYPERLINK is not implemented. linkLocation=https://bible.usccb.org/bible/readings/012526.cfm, friendlyName=USCCB readings ↗</x:v>
      </x:c>
    </x:row>
    <x:row r="27">
      <x:c r="A27" s="38" t="n">
        <x:v>46048</x:v>
      </x:c>
      <x:c r="B27" t="str">
        <x:v>Monday</x:v>
      </x:c>
      <x:c r="C27" s="20" t="str">
        <x:v>Ordinary Time</x:v>
      </x:c>
      <x:c r="D27" t="str">
        <x:v>Saints Timothy and Titus</x:v>
      </x:c>
      <x:c r="E27" t="str">
        <x:v>Memorial</x:v>
      </x:c>
      <x:c r="F27" s="14" t="str">
        <x:v>Saints Timothy and Titus [Memorial]</x:v>
      </x:c>
      <x:c r="G27" s="14" t="str">
        <x:v>✦ 🕯</x:v>
      </x:c>
      <x:c r="H27" s="14" t="str"/>
      <x:c r="I27" s="14" t="str"/>
      <x:c r="J27" s="14" t="str"/>
      <x:c r="K27" s="84" t="str">
        <x:v>🕯 Franciscan post-Epiphany Lent — historical Franciscan practice</x:v>
      </x:c>
      <x:c r="L27" s="14" t="str"/>
      <x:c r="M27" s="14" t="str"/>
      <x:c r="N27" s="14" t="str">
        <x:v>https://www.usccb.org/resources/2026cal.pdf
https://www.franciscantradition.org/blog/the-five-lents-of-francis-vjkyuy/</x:v>
      </x:c>
      <x:c r="O27" s="115" t="e">
        <x:f>HYPERLINK("https://bible.usccb.org/bible/readings/012626.cfm","USCCB readings ↗")</x:f>
        <x:v>HYPERLINK is not implemented. linkLocation=https://bible.usccb.org/bible/readings/012626.cfm, friendlyName=USCCB readings ↗</x:v>
      </x:c>
    </x:row>
    <x:row r="28">
      <x:c r="A28" s="38" t="n">
        <x:v>46049</x:v>
      </x:c>
      <x:c r="B28" t="str">
        <x:v>Tuesday</x:v>
      </x:c>
      <x:c r="C28" s="20" t="str">
        <x:v>Ordinary Time</x:v>
      </x:c>
      <x:c r="D28" t="str">
        <x:v>Weekday in Ordinary Time</x:v>
      </x:c>
      <x:c r="E28" t="str">
        <x:v>Weekday</x:v>
      </x:c>
      <x:c r="F28" s="14" t="str">
        <x:v>Saint Angela Merici [Optional Memorial]</x:v>
      </x:c>
      <x:c r="G28" s="14" t="str">
        <x:v>✦ 🕯</x:v>
      </x:c>
      <x:c r="H28" s="14" t="str"/>
      <x:c r="I28" s="14" t="str"/>
      <x:c r="J28" s="14" t="str"/>
      <x:c r="K28" s="84" t="str">
        <x:v>🕯 Franciscan post-Epiphany Lent — historical Franciscan practice</x:v>
      </x:c>
      <x:c r="L28" s="14" t="str"/>
      <x:c r="M28" s="14" t="str"/>
      <x:c r="N28" s="14" t="str">
        <x:v>https://www.usccb.org/resources/2026cal.pdf
https://www.franciscantradition.org/blog/the-five-lents-of-francis-vjkyuy/</x:v>
      </x:c>
      <x:c r="O28" s="115" t="e">
        <x:f>HYPERLINK("https://bible.usccb.org/bible/readings/012726.cfm","USCCB readings ↗")</x:f>
        <x:v>HYPERLINK is not implemented. linkLocation=https://bible.usccb.org/bible/readings/012726.cfm, friendlyName=USCCB readings ↗</x:v>
      </x:c>
    </x:row>
    <x:row r="29">
      <x:c r="A29" s="38" t="n">
        <x:v>46050</x:v>
      </x:c>
      <x:c r="B29" t="str">
        <x:v>Wednesday</x:v>
      </x:c>
      <x:c r="C29" s="20" t="str">
        <x:v>Ordinary Time</x:v>
      </x:c>
      <x:c r="D29" t="str">
        <x:v>Saint Thomas Aquinas</x:v>
      </x:c>
      <x:c r="E29" t="str">
        <x:v>Memorial</x:v>
      </x:c>
      <x:c r="F29" s="14" t="str">
        <x:v>Saint Thomas Aquinas [Memorial]</x:v>
      </x:c>
      <x:c r="G29" s="14" t="str">
        <x:v>✦ 🕯</x:v>
      </x:c>
      <x:c r="H29" s="14" t="str"/>
      <x:c r="I29" s="14" t="str"/>
      <x:c r="J29" s="14" t="str"/>
      <x:c r="K29" s="84" t="str">
        <x:v>🕯 Franciscan post-Epiphany Lent — historical Franciscan practice</x:v>
      </x:c>
      <x:c r="L29" s="14" t="str"/>
      <x:c r="M29" s="14" t="str"/>
      <x:c r="N29" s="14" t="str">
        <x:v>https://www.usccb.org/resources/2026cal.pdf
https://www.franciscantradition.org/blog/the-five-lents-of-francis-vjkyuy/</x:v>
      </x:c>
      <x:c r="O29" s="115" t="e">
        <x:f>HYPERLINK("https://bible.usccb.org/bible/readings/012826.cfm","USCCB readings ↗")</x:f>
        <x:v>HYPERLINK is not implemented. linkLocation=https://bible.usccb.org/bible/readings/012826.cfm, friendlyName=USCCB readings ↗</x:v>
      </x:c>
    </x:row>
    <x:row r="30">
      <x:c r="A30" s="38" t="n">
        <x:v>46051</x:v>
      </x:c>
      <x:c r="B30" t="str">
        <x:v>Thursday</x:v>
      </x:c>
      <x:c r="C30" s="20" t="str">
        <x:v>Ordinary Time</x:v>
      </x:c>
      <x:c r="D30" t="str">
        <x:v>Weekday in Ordinary Time</x:v>
      </x:c>
      <x:c r="E30" t="str">
        <x:v>Weekday</x:v>
      </x:c>
      <x:c r="F30" s="14" t="str"/>
      <x:c r="G30" s="14" t="str">
        <x:v>🕯</x:v>
      </x:c>
      <x:c r="H30" s="14" t="str"/>
      <x:c r="I30" s="14" t="str"/>
      <x:c r="J30" s="14" t="str"/>
      <x:c r="K30" s="84" t="str">
        <x:v>🕯 Franciscan post-Epiphany Lent — historical Franciscan practice</x:v>
      </x:c>
      <x:c r="L30" s="14" t="str"/>
      <x:c r="M30" s="14" t="str"/>
      <x:c r="N30" s="14" t="str">
        <x:v>https://www.usccb.org/resources/2026cal.pdf
https://www.franciscantradition.org/blog/the-five-lents-of-francis-vjkyuy/</x:v>
      </x:c>
      <x:c r="O30" s="115" t="e">
        <x:f>HYPERLINK("https://bible.usccb.org/bible/readings/012926.cfm","USCCB readings ↗")</x:f>
        <x:v>HYPERLINK is not implemented. linkLocation=https://bible.usccb.org/bible/readings/012926.cfm, friendlyName=USCCB readings ↗</x:v>
      </x:c>
    </x:row>
    <x:row r="31">
      <x:c r="A31" s="38" t="n">
        <x:v>46052</x:v>
      </x:c>
      <x:c r="B31" t="str">
        <x:v>Friday</x:v>
      </x:c>
      <x:c r="C31" s="20" t="str">
        <x:v>Ordinary Time</x:v>
      </x:c>
      <x:c r="D31" t="str">
        <x:v>Weekday in Ordinary Time</x:v>
      </x:c>
      <x:c r="E31" t="str">
        <x:v>Weekday</x:v>
      </x:c>
      <x:c r="F31" s="14" t="str"/>
      <x:c r="G31" s="14" t="str">
        <x:v>Ⓟ 🕯</x:v>
      </x:c>
      <x:c r="H31" s="14" t="str"/>
      <x:c r="I31" s="14" t="str"/>
      <x:c r="J31" s="82" t="str">
        <x:v>Friday penance — outside Lent, U.S. Catholics may choose an appropriate penitential practice</x:v>
      </x:c>
      <x:c r="K31" s="84" t="str">
        <x:v>🕯 Franciscan post-Epiphany Lent — historical Franciscan practice</x:v>
      </x:c>
      <x:c r="L31" s="14" t="str"/>
      <x:c r="M31" s="14" t="str"/>
      <x:c r="N31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31" s="115" t="e">
        <x:f>HYPERLINK("https://bible.usccb.org/bible/readings/013026.cfm","USCCB readings ↗")</x:f>
        <x:v>HYPERLINK is not implemented. linkLocation=https://bible.usccb.org/bible/readings/013026.cfm, friendlyName=USCCB readings ↗</x:v>
      </x:c>
    </x:row>
    <x:row r="32">
      <x:c r="A32" s="38" t="n">
        <x:v>46053</x:v>
      </x:c>
      <x:c r="B32" t="str">
        <x:v>Saturday</x:v>
      </x:c>
      <x:c r="C32" s="20" t="str">
        <x:v>Ordinary Time</x:v>
      </x:c>
      <x:c r="D32" t="str">
        <x:v>Saint John Bosco</x:v>
      </x:c>
      <x:c r="E32" t="str">
        <x:v>Memorial</x:v>
      </x:c>
      <x:c r="F32" s="14" t="str">
        <x:v>Saint John Bosco [Memorial]</x:v>
      </x:c>
      <x:c r="G32" s="14" t="str">
        <x:v>✦ 🕯</x:v>
      </x:c>
      <x:c r="H32" s="14" t="str"/>
      <x:c r="I32" s="14" t="str"/>
      <x:c r="J32" s="14" t="str"/>
      <x:c r="K32" s="84" t="str">
        <x:v>🕯 Franciscan post-Epiphany Lent — historical Franciscan practice</x:v>
      </x:c>
      <x:c r="L32" s="14" t="str"/>
      <x:c r="M32" s="14" t="str"/>
      <x:c r="N32" s="14" t="str">
        <x:v>https://www.usccb.org/resources/2026cal.pdf
https://www.franciscantradition.org/blog/the-five-lents-of-francis-vjkyuy/</x:v>
      </x:c>
      <x:c r="O32" s="115" t="e">
        <x:f>HYPERLINK("https://bible.usccb.org/bible/readings/013126.cfm","USCCB readings ↗")</x:f>
        <x:v>HYPERLINK is not implemented. linkLocation=https://bible.usccb.org/bible/readings/013126.cfm, friendlyName=USCCB readings ↗</x:v>
      </x:c>
    </x:row>
    <x:row r="33">
      <x:c r="A33" s="38" t="n">
        <x:v>46054</x:v>
      </x:c>
      <x:c r="B33" t="str">
        <x:v>Sunday</x:v>
      </x:c>
      <x:c r="C33" s="20" t="str">
        <x:v>Ordinary Time</x:v>
      </x:c>
      <x:c r="D33" t="str">
        <x:v>Fourth Sunday in Ordinary Time</x:v>
      </x:c>
      <x:c r="E33" t="str">
        <x:v>Sunday</x:v>
      </x:c>
      <x:c r="F33" s="14" t="str"/>
      <x:c r="G33" s="14" t="str">
        <x:v>⛪ 🕯</x:v>
      </x:c>
      <x:c r="H33" s="78" t="str">
        <x:v>⛪ Sunday Mass obligation</x:v>
      </x:c>
      <x:c r="I33" s="14" t="str"/>
      <x:c r="J33" s="14" t="str"/>
      <x:c r="K33" s="84" t="str">
        <x:v>🕯 Septuagesima Sunday — historical Roman pre-Lent
🕯 Franciscan post-Epiphany Lent — historical Franciscan practice</x:v>
      </x:c>
      <x:c r="L33" s="14" t="str"/>
      <x:c r="M33" s="14" t="str"/>
      <x:c r="N33" s="14" t="str">
        <x:v>https://www.usccb.org/resources/2026cal.pdf
https://www.usccb.org/beliefs-and-teachings/what-we-believe/canon-law/complementary-norms/canon-1246
https://www.newadvent.org/cathen/13721b.htm
https://www.franciscantradition.org/blog/the-five-lents-of-francis-vjkyuy/</x:v>
      </x:c>
      <x:c r="O33" s="115" t="e">
        <x:f>HYPERLINK("https://bible.usccb.org/bible/readings/020126.cfm","USCCB readings ↗")</x:f>
        <x:v>HYPERLINK is not implemented. linkLocation=https://bible.usccb.org/bible/readings/020126.cfm, friendlyName=USCCB readings ↗</x:v>
      </x:c>
    </x:row>
    <x:row r="34">
      <x:c r="A34" s="38" t="n">
        <x:v>46055</x:v>
      </x:c>
      <x:c r="B34" t="str">
        <x:v>Monday</x:v>
      </x:c>
      <x:c r="C34" s="20" t="str">
        <x:v>Ordinary Time</x:v>
      </x:c>
      <x:c r="D34" t="str">
        <x:v>Presentation of the Lord</x:v>
      </x:c>
      <x:c r="E34" t="str">
        <x:v>Feast</x:v>
      </x:c>
      <x:c r="F34" s="76" t="str">
        <x:v>Presentation of the Lord [Feast]</x:v>
      </x:c>
      <x:c r="G34" s="14" t="str">
        <x:v>★ ✝ 🌹 🕯</x:v>
      </x:c>
      <x:c r="H34" s="14" t="str"/>
      <x:c r="I34" s="14" t="str"/>
      <x:c r="J34" s="14" t="str"/>
      <x:c r="K34" s="84" t="str">
        <x:v>🕯 Franciscan post-Epiphany Lent — historical Franciscan practice</x:v>
      </x:c>
      <x:c r="L34" s="14" t="str"/>
      <x:c r="M34" s="14" t="str"/>
      <x:c r="N34" s="14" t="str">
        <x:v>https://www.usccb.org/resources/2026cal.pdf
https://www.franciscantradition.org/blog/the-five-lents-of-francis-vjkyuy/</x:v>
      </x:c>
      <x:c r="O34" s="115" t="e">
        <x:f>HYPERLINK("https://bible.usccb.org/bible/readings/020226.cfm","USCCB readings ↗")</x:f>
        <x:v>HYPERLINK is not implemented. linkLocation=https://bible.usccb.org/bible/readings/020226.cfm, friendlyName=USCCB readings ↗</x:v>
      </x:c>
    </x:row>
    <x:row r="35">
      <x:c r="A35" s="38" t="n">
        <x:v>46056</x:v>
      </x:c>
      <x:c r="B35" t="str">
        <x:v>Tuesday</x:v>
      </x:c>
      <x:c r="C35" s="20" t="str">
        <x:v>Ordinary Time</x:v>
      </x:c>
      <x:c r="D35" t="str">
        <x:v>Weekday in Ordinary Time</x:v>
      </x:c>
      <x:c r="E35" t="str">
        <x:v>Weekday</x:v>
      </x:c>
      <x:c r="F35" s="14" t="str">
        <x:v>Saint Blaise; Saint Ansgar [Optional Memorial]</x:v>
      </x:c>
      <x:c r="G35" s="14" t="str">
        <x:v>✦ 🕯</x:v>
      </x:c>
      <x:c r="H35" s="14" t="str"/>
      <x:c r="I35" s="14" t="str"/>
      <x:c r="J35" s="14" t="str"/>
      <x:c r="K35" s="84" t="str">
        <x:v>🕯 Franciscan post-Epiphany Lent — historical Franciscan practice</x:v>
      </x:c>
      <x:c r="L35" s="14" t="str"/>
      <x:c r="M35" s="14" t="str"/>
      <x:c r="N35" s="14" t="str">
        <x:v>https://www.usccb.org/resources/2026cal.pdf
https://www.franciscantradition.org/blog/the-five-lents-of-francis-vjkyuy/</x:v>
      </x:c>
      <x:c r="O35" s="115" t="e">
        <x:f>HYPERLINK("https://bible.usccb.org/bible/readings/020326.cfm","USCCB readings ↗")</x:f>
        <x:v>HYPERLINK is not implemented. linkLocation=https://bible.usccb.org/bible/readings/020326.cfm, friendlyName=USCCB readings ↗</x:v>
      </x:c>
    </x:row>
    <x:row r="36">
      <x:c r="A36" s="38" t="n">
        <x:v>46057</x:v>
      </x:c>
      <x:c r="B36" t="str">
        <x:v>Wednesday</x:v>
      </x:c>
      <x:c r="C36" s="20" t="str">
        <x:v>Ordinary Time</x:v>
      </x:c>
      <x:c r="D36" t="str">
        <x:v>Weekday in Ordinary Time</x:v>
      </x:c>
      <x:c r="E36" t="str">
        <x:v>Weekday</x:v>
      </x:c>
      <x:c r="F36" s="14" t="str"/>
      <x:c r="G36" s="14" t="str">
        <x:v>🕯</x:v>
      </x:c>
      <x:c r="H36" s="14" t="str"/>
      <x:c r="I36" s="14" t="str"/>
      <x:c r="J36" s="14" t="str"/>
      <x:c r="K36" s="84" t="str">
        <x:v>🕯 Franciscan post-Epiphany Lent — historical Franciscan practice</x:v>
      </x:c>
      <x:c r="L36" s="14" t="str"/>
      <x:c r="M36" s="14" t="str"/>
      <x:c r="N36" s="14" t="str">
        <x:v>https://www.usccb.org/resources/2026cal.pdf
https://www.franciscantradition.org/blog/the-five-lents-of-francis-vjkyuy/</x:v>
      </x:c>
      <x:c r="O36" s="115" t="e">
        <x:f>HYPERLINK("https://bible.usccb.org/bible/readings/020426.cfm","USCCB readings ↗")</x:f>
        <x:v>HYPERLINK is not implemented. linkLocation=https://bible.usccb.org/bible/readings/020426.cfm, friendlyName=USCCB readings ↗</x:v>
      </x:c>
    </x:row>
    <x:row r="37">
      <x:c r="A37" s="38" t="n">
        <x:v>46058</x:v>
      </x:c>
      <x:c r="B37" t="str">
        <x:v>Thursday</x:v>
      </x:c>
      <x:c r="C37" s="20" t="str">
        <x:v>Ordinary Time</x:v>
      </x:c>
      <x:c r="D37" t="str">
        <x:v>Saint Agatha</x:v>
      </x:c>
      <x:c r="E37" t="str">
        <x:v>Memorial</x:v>
      </x:c>
      <x:c r="F37" s="14" t="str">
        <x:v>Saint Agatha [Memorial]</x:v>
      </x:c>
      <x:c r="G37" s="14" t="str">
        <x:v>✦ 🕯</x:v>
      </x:c>
      <x:c r="H37" s="14" t="str"/>
      <x:c r="I37" s="14" t="str"/>
      <x:c r="J37" s="14" t="str"/>
      <x:c r="K37" s="84" t="str">
        <x:v>🕯 Franciscan post-Epiphany Lent — historical Franciscan practice</x:v>
      </x:c>
      <x:c r="L37" s="14" t="str"/>
      <x:c r="M37" s="14" t="str"/>
      <x:c r="N37" s="14" t="str">
        <x:v>https://www.usccb.org/resources/2026cal.pdf
https://www.franciscantradition.org/blog/the-five-lents-of-francis-vjkyuy/</x:v>
      </x:c>
      <x:c r="O37" s="115" t="e">
        <x:f>HYPERLINK("https://bible.usccb.org/bible/readings/020526.cfm","USCCB readings ↗")</x:f>
        <x:v>HYPERLINK is not implemented. linkLocation=https://bible.usccb.org/bible/readings/020526.cfm, friendlyName=USCCB readings ↗</x:v>
      </x:c>
    </x:row>
    <x:row r="38">
      <x:c r="A38" s="38" t="n">
        <x:v>46059</x:v>
      </x:c>
      <x:c r="B38" t="str">
        <x:v>Friday</x:v>
      </x:c>
      <x:c r="C38" s="20" t="str">
        <x:v>Ordinary Time</x:v>
      </x:c>
      <x:c r="D38" t="str">
        <x:v>Saint Paul Miki and Companions</x:v>
      </x:c>
      <x:c r="E38" t="str">
        <x:v>Memorial</x:v>
      </x:c>
      <x:c r="F38" s="14" t="str">
        <x:v>Saint Paul Miki and Companions [Memorial]</x:v>
      </x:c>
      <x:c r="G38" s="14" t="str">
        <x:v>✦ 🙏 Ⓟ 🕯</x:v>
      </x:c>
      <x:c r="H38" s="14" t="str"/>
      <x:c r="I38" s="80" t="str">
        <x:v>❤ First Friday — Sacred Heart devotion</x:v>
      </x:c>
      <x:c r="J38" s="82" t="str">
        <x:v>Friday penance — outside Lent, U.S. Catholics may choose an appropriate penitential practice</x:v>
      </x:c>
      <x:c r="K38" s="84" t="str">
        <x:v>🕯 Franciscan post-Epiphany Lent — historical Franciscan practice</x:v>
      </x:c>
      <x:c r="L38" s="14" t="str"/>
      <x:c r="M38" s="14" t="str"/>
      <x:c r="N38" s="14" t="str">
        <x:v>https://www.usccb.org/resources/2026cal.pdf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38" s="115" t="e">
        <x:f>HYPERLINK("https://bible.usccb.org/bible/readings/020626.cfm","USCCB readings ↗")</x:f>
        <x:v>HYPERLINK is not implemented. linkLocation=https://bible.usccb.org/bible/readings/020626.cfm, friendlyName=USCCB readings ↗</x:v>
      </x:c>
    </x:row>
    <x:row r="39">
      <x:c r="A39" s="38" t="n">
        <x:v>46060</x:v>
      </x:c>
      <x:c r="B39" t="str">
        <x:v>Saturday</x:v>
      </x:c>
      <x:c r="C39" s="20" t="str">
        <x:v>Ordinary Time</x:v>
      </x:c>
      <x:c r="D39" t="str">
        <x:v>Weekday in Ordinary Time</x:v>
      </x:c>
      <x:c r="E39" t="str">
        <x:v>Weekday</x:v>
      </x:c>
      <x:c r="F39" s="76" t="str"/>
      <x:c r="G39" s="14" t="str">
        <x:v>🙏 🌹 🕯</x:v>
      </x:c>
      <x:c r="H39" s="14" t="str"/>
      <x:c r="I39" s="80" t="str">
        <x:v>🌹 First Saturday — Immaculate Heart devotion</x:v>
      </x:c>
      <x:c r="J39" s="14" t="str"/>
      <x:c r="K39" s="84" t="str">
        <x:v>🕯 Franciscan post-Epiphany Lent — historical Franciscan practice</x:v>
      </x:c>
      <x:c r="L39" s="14" t="str"/>
      <x:c r="M39" s="14" t="str"/>
      <x:c r="N39" s="14" t="str">
        <x:v>https://www.usccb.org/resources/2026cal.pdf
https://www.ewtn.com/catholicism/library/revelation-of-the-immaculate-heart-at-fatima-in-1917-5465
https://www.franciscantradition.org/blog/the-five-lents-of-francis-vjkyuy/</x:v>
      </x:c>
      <x:c r="O39" s="115" t="e">
        <x:f>HYPERLINK("https://bible.usccb.org/bible/readings/020726.cfm","USCCB readings ↗")</x:f>
        <x:v>HYPERLINK is not implemented. linkLocation=https://bible.usccb.org/bible/readings/020726.cfm, friendlyName=USCCB readings ↗</x:v>
      </x:c>
    </x:row>
    <x:row r="40">
      <x:c r="A40" s="38" t="n">
        <x:v>46061</x:v>
      </x:c>
      <x:c r="B40" t="str">
        <x:v>Sunday</x:v>
      </x:c>
      <x:c r="C40" s="20" t="str">
        <x:v>Ordinary Time</x:v>
      </x:c>
      <x:c r="D40" t="str">
        <x:v>Fifth Sunday in Ordinary Time</x:v>
      </x:c>
      <x:c r="E40" t="str">
        <x:v>Sunday</x:v>
      </x:c>
      <x:c r="F40" s="14" t="str">
        <x:v>Saint Jerome Emiliani; Saint Josephine Bakhita [Optional Memorial]</x:v>
      </x:c>
      <x:c r="G40" s="14" t="str">
        <x:v>✦ ⛪ 🕯</x:v>
      </x:c>
      <x:c r="H40" s="78" t="str">
        <x:v>⛪ Sunday Mass obligation</x:v>
      </x:c>
      <x:c r="I40" s="14" t="str"/>
      <x:c r="J40" s="14" t="str"/>
      <x:c r="K40" s="84" t="str">
        <x:v>🕯 Sexagesima Sunday — historical Roman pre-Lent
🕯 Franciscan post-Epiphany Lent — historical Franciscan practice</x:v>
      </x:c>
      <x:c r="L40" s="14" t="str"/>
      <x:c r="M40" s="14" t="str">
        <x:v>A fixed observance also falls today, but the Sunday or higher-ranking celebration takes liturgical precedence.</x:v>
      </x:c>
      <x:c r="N40" s="14" t="str">
        <x:v>https://www.usccb.org/resources/2026cal.pdf
https://www.usccb.org/beliefs-and-teachings/what-we-believe/canon-law/complementary-norms/canon-1246
https://www.newadvent.org/cathen/13721b.htm
https://www.franciscantradition.org/blog/the-five-lents-of-francis-vjkyuy/</x:v>
      </x:c>
      <x:c r="O40" s="115" t="e">
        <x:f>HYPERLINK("https://bible.usccb.org/bible/readings/020826.cfm","USCCB readings ↗")</x:f>
        <x:v>HYPERLINK is not implemented. linkLocation=https://bible.usccb.org/bible/readings/020826.cfm, friendlyName=USCCB readings ↗</x:v>
      </x:c>
    </x:row>
    <x:row r="41">
      <x:c r="A41" s="38" t="n">
        <x:v>46062</x:v>
      </x:c>
      <x:c r="B41" t="str">
        <x:v>Monday</x:v>
      </x:c>
      <x:c r="C41" s="20" t="str">
        <x:v>Ordinary Time</x:v>
      </x:c>
      <x:c r="D41" t="str">
        <x:v>Weekday in Ordinary Time</x:v>
      </x:c>
      <x:c r="E41" t="str">
        <x:v>Weekday</x:v>
      </x:c>
      <x:c r="F41" s="14" t="str"/>
      <x:c r="G41" s="14" t="str">
        <x:v>🕯</x:v>
      </x:c>
      <x:c r="H41" s="14" t="str"/>
      <x:c r="I41" s="14" t="str"/>
      <x:c r="J41" s="14" t="str"/>
      <x:c r="K41" s="84" t="str">
        <x:v>🕯 Franciscan post-Epiphany Lent — historical Franciscan practice</x:v>
      </x:c>
      <x:c r="L41" s="14" t="str"/>
      <x:c r="M41" s="14" t="str"/>
      <x:c r="N41" s="14" t="str">
        <x:v>https://www.usccb.org/resources/2026cal.pdf
https://www.franciscantradition.org/blog/the-five-lents-of-francis-vjkyuy/</x:v>
      </x:c>
      <x:c r="O41" s="115" t="e">
        <x:f>HYPERLINK("https://bible.usccb.org/bible/readings/020926.cfm","USCCB readings ↗")</x:f>
        <x:v>HYPERLINK is not implemented. linkLocation=https://bible.usccb.org/bible/readings/020926.cfm, friendlyName=USCCB readings ↗</x:v>
      </x:c>
    </x:row>
    <x:row r="42">
      <x:c r="A42" s="38" t="n">
        <x:v>46063</x:v>
      </x:c>
      <x:c r="B42" t="str">
        <x:v>Tuesday</x:v>
      </x:c>
      <x:c r="C42" s="20" t="str">
        <x:v>Ordinary Time</x:v>
      </x:c>
      <x:c r="D42" t="str">
        <x:v>Saint Scholastica</x:v>
      </x:c>
      <x:c r="E42" t="str">
        <x:v>Memorial</x:v>
      </x:c>
      <x:c r="F42" s="14" t="str">
        <x:v>Saint Scholastica [Memorial]</x:v>
      </x:c>
      <x:c r="G42" s="14" t="str">
        <x:v>✦ 🕯</x:v>
      </x:c>
      <x:c r="H42" s="14" t="str"/>
      <x:c r="I42" s="14" t="str"/>
      <x:c r="J42" s="14" t="str"/>
      <x:c r="K42" s="84" t="str">
        <x:v>🕯 Franciscan post-Epiphany Lent — historical Franciscan practice</x:v>
      </x:c>
      <x:c r="L42" s="14" t="str"/>
      <x:c r="M42" s="14" t="str"/>
      <x:c r="N42" s="14" t="str">
        <x:v>https://www.usccb.org/resources/2026cal.pdf
https://www.franciscantradition.org/blog/the-five-lents-of-francis-vjkyuy/</x:v>
      </x:c>
      <x:c r="O42" s="115" t="e">
        <x:f>HYPERLINK("https://bible.usccb.org/bible/readings/021026.cfm","USCCB readings ↗")</x:f>
        <x:v>HYPERLINK is not implemented. linkLocation=https://bible.usccb.org/bible/readings/021026.cfm, friendlyName=USCCB readings ↗</x:v>
      </x:c>
    </x:row>
    <x:row r="43">
      <x:c r="A43" s="38" t="n">
        <x:v>46064</x:v>
      </x:c>
      <x:c r="B43" t="str">
        <x:v>Wednesday</x:v>
      </x:c>
      <x:c r="C43" s="20" t="str">
        <x:v>Ordinary Time</x:v>
      </x:c>
      <x:c r="D43" t="str">
        <x:v>Weekday in Ordinary Time</x:v>
      </x:c>
      <x:c r="E43" t="str">
        <x:v>Weekday</x:v>
      </x:c>
      <x:c r="F43" s="76" t="str">
        <x:v>Our Lady of Lourdes [Optional Memorial]</x:v>
      </x:c>
      <x:c r="G43" s="14" t="str">
        <x:v>🌹 🕯</x:v>
      </x:c>
      <x:c r="H43" s="14" t="str"/>
      <x:c r="I43" s="14" t="str"/>
      <x:c r="J43" s="14" t="str"/>
      <x:c r="K43" s="84" t="str">
        <x:v>🕯 Franciscan post-Epiphany Lent — historical Franciscan practice</x:v>
      </x:c>
      <x:c r="L43" s="14" t="str"/>
      <x:c r="M43" s="14" t="str"/>
      <x:c r="N43" s="14" t="str">
        <x:v>https://www.usccb.org/resources/2026cal.pdf
https://www.franciscantradition.org/blog/the-five-lents-of-francis-vjkyuy/</x:v>
      </x:c>
      <x:c r="O43" s="115" t="e">
        <x:f>HYPERLINK("https://bible.usccb.org/bible/readings/021126.cfm","USCCB readings ↗")</x:f>
        <x:v>HYPERLINK is not implemented. linkLocation=https://bible.usccb.org/bible/readings/021126.cfm, friendlyName=USCCB readings ↗</x:v>
      </x:c>
    </x:row>
    <x:row r="44">
      <x:c r="A44" s="38" t="n">
        <x:v>46065</x:v>
      </x:c>
      <x:c r="B44" t="str">
        <x:v>Thursday</x:v>
      </x:c>
      <x:c r="C44" s="20" t="str">
        <x:v>Ordinary Time</x:v>
      </x:c>
      <x:c r="D44" t="str">
        <x:v>Weekday in Ordinary Time</x:v>
      </x:c>
      <x:c r="E44" t="str">
        <x:v>Weekday</x:v>
      </x:c>
      <x:c r="F44" s="14" t="str"/>
      <x:c r="G44" s="14" t="str">
        <x:v>🕯</x:v>
      </x:c>
      <x:c r="H44" s="14" t="str"/>
      <x:c r="I44" s="14" t="str"/>
      <x:c r="J44" s="14" t="str"/>
      <x:c r="K44" s="84" t="str">
        <x:v>🕯 Franciscan post-Epiphany Lent — historical Franciscan practice</x:v>
      </x:c>
      <x:c r="L44" s="14" t="str"/>
      <x:c r="M44" s="14" t="str"/>
      <x:c r="N44" s="14" t="str">
        <x:v>https://www.usccb.org/resources/2026cal.pdf
https://www.franciscantradition.org/blog/the-five-lents-of-francis-vjkyuy/</x:v>
      </x:c>
      <x:c r="O44" s="115" t="e">
        <x:f>HYPERLINK("https://bible.usccb.org/bible/readings/021226.cfm","USCCB readings ↗")</x:f>
        <x:v>HYPERLINK is not implemented. linkLocation=https://bible.usccb.org/bible/readings/021226.cfm, friendlyName=USCCB readings ↗</x:v>
      </x:c>
    </x:row>
    <x:row r="45">
      <x:c r="A45" s="38" t="n">
        <x:v>46066</x:v>
      </x:c>
      <x:c r="B45" t="str">
        <x:v>Friday</x:v>
      </x:c>
      <x:c r="C45" s="20" t="str">
        <x:v>Ordinary Time</x:v>
      </x:c>
      <x:c r="D45" t="str">
        <x:v>Weekday in Ordinary Time</x:v>
      </x:c>
      <x:c r="E45" t="str">
        <x:v>Weekday</x:v>
      </x:c>
      <x:c r="F45" s="14" t="str"/>
      <x:c r="G45" s="14" t="str">
        <x:v>Ⓟ 🕯</x:v>
      </x:c>
      <x:c r="H45" s="14" t="str"/>
      <x:c r="I45" s="14" t="str"/>
      <x:c r="J45" s="82" t="str">
        <x:v>Friday penance — outside Lent, U.S. Catholics may choose an appropriate penitential practice</x:v>
      </x:c>
      <x:c r="K45" s="84" t="str">
        <x:v>🕯 Franciscan post-Epiphany Lent — historical Franciscan practice</x:v>
      </x:c>
      <x:c r="L45" s="14" t="str"/>
      <x:c r="M45" s="14" t="str"/>
      <x:c r="N45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45" s="115" t="e">
        <x:f>HYPERLINK("https://bible.usccb.org/bible/readings/021326.cfm","USCCB readings ↗")</x:f>
        <x:v>HYPERLINK is not implemented. linkLocation=https://bible.usccb.org/bible/readings/021326.cfm, friendlyName=USCCB readings ↗</x:v>
      </x:c>
    </x:row>
    <x:row r="46">
      <x:c r="A46" s="38" t="n">
        <x:v>46067</x:v>
      </x:c>
      <x:c r="B46" t="str">
        <x:v>Saturday</x:v>
      </x:c>
      <x:c r="C46" s="20" t="str">
        <x:v>Ordinary Time</x:v>
      </x:c>
      <x:c r="D46" t="str">
        <x:v>Saints Cyril and Methodius</x:v>
      </x:c>
      <x:c r="E46" t="str">
        <x:v>Memorial</x:v>
      </x:c>
      <x:c r="F46" s="14" t="str">
        <x:v>Saints Cyril and Methodius [Memorial]</x:v>
      </x:c>
      <x:c r="G46" s="14" t="str">
        <x:v>✦ 🕯</x:v>
      </x:c>
      <x:c r="H46" s="14" t="str"/>
      <x:c r="I46" s="14" t="str"/>
      <x:c r="J46" s="14" t="str"/>
      <x:c r="K46" s="84" t="str">
        <x:v>🕯 Franciscan post-Epiphany Lent — historical Franciscan practice</x:v>
      </x:c>
      <x:c r="L46" s="14" t="str">
        <x:v>Popular tradition: Saint Valentine</x:v>
      </x:c>
      <x:c r="M46" s="14" t="str"/>
      <x:c r="N46" s="14" t="str">
        <x:v>https://www.usccb.org/resources/2026cal.pdf
https://www.franciscantradition.org/blog/the-five-lents-of-francis-vjkyuy/</x:v>
      </x:c>
      <x:c r="O46" s="115" t="e">
        <x:f>HYPERLINK("https://bible.usccb.org/bible/readings/021426.cfm","USCCB readings ↗")</x:f>
        <x:v>HYPERLINK is not implemented. linkLocation=https://bible.usccb.org/bible/readings/021426.cfm, friendlyName=USCCB readings ↗</x:v>
      </x:c>
    </x:row>
    <x:row r="47">
      <x:c r="A47" s="38" t="n">
        <x:v>46068</x:v>
      </x:c>
      <x:c r="B47" t="str">
        <x:v>Sunday</x:v>
      </x:c>
      <x:c r="C47" s="20" t="str">
        <x:v>Ordinary Time</x:v>
      </x:c>
      <x:c r="D47" t="str">
        <x:v>Sixth Sunday in Ordinary Time</x:v>
      </x:c>
      <x:c r="E47" t="str">
        <x:v>Sunday</x:v>
      </x:c>
      <x:c r="F47" s="14" t="str"/>
      <x:c r="G47" s="14" t="str">
        <x:v>⛪ 🕯</x:v>
      </x:c>
      <x:c r="H47" s="78" t="str">
        <x:v>⛪ Sunday Mass obligation</x:v>
      </x:c>
      <x:c r="I47" s="14" t="str"/>
      <x:c r="J47" s="14" t="str"/>
      <x:c r="K47" s="84" t="str">
        <x:v>🕯 Quinquagesima Sunday — historical Roman pre-Lent
🕯 Franciscan post-Epiphany Lent — historical Franciscan practice</x:v>
      </x:c>
      <x:c r="L47" s="14" t="str"/>
      <x:c r="M47" s="14" t="str"/>
      <x:c r="N47" s="14" t="str">
        <x:v>https://www.usccb.org/resources/2026cal.pdf
https://www.usccb.org/beliefs-and-teachings/what-we-believe/canon-law/complementary-norms/canon-1246
https://www.newadvent.org/cathen/13721b.htm
https://www.franciscantradition.org/blog/the-five-lents-of-francis-vjkyuy/</x:v>
      </x:c>
      <x:c r="O47" s="115" t="e">
        <x:f>HYPERLINK("https://bible.usccb.org/bible/readings/021526.cfm","USCCB readings ↗")</x:f>
        <x:v>HYPERLINK is not implemented. linkLocation=https://bible.usccb.org/bible/readings/021526.cfm, friendlyName=USCCB readings ↗</x:v>
      </x:c>
    </x:row>
    <x:row r="48">
      <x:c r="A48" s="38" t="n">
        <x:v>46070</x:v>
      </x:c>
      <x:c r="B48" t="str">
        <x:v>Tuesday</x:v>
      </x:c>
      <x:c r="C48" s="20" t="str">
        <x:v>Ordinary Time</x:v>
      </x:c>
      <x:c r="D48" t="str">
        <x:v>Weekday in Ordinary Time</x:v>
      </x:c>
      <x:c r="E48" t="str">
        <x:v>Weekday</x:v>
      </x:c>
      <x:c r="F48" s="14" t="str">
        <x:v>Seven Holy Founders of the Servite Order [Optional Memorial]</x:v>
      </x:c>
      <x:c r="G48" s="14" t="str">
        <x:v>✦</x:v>
      </x:c>
      <x:c r="H48" s="14" t="str"/>
      <x:c r="I48" s="14" t="str"/>
      <x:c r="J48" s="14" t="str"/>
      <x:c r="K48" s="14" t="str"/>
      <x:c r="L48" s="14" t="str"/>
      <x:c r="M48" s="14" t="str"/>
      <x:c r="N48" s="14" t="str">
        <x:v>https://www.usccb.org/resources/2026cal.pdf</x:v>
      </x:c>
      <x:c r="O48" s="115" t="e">
        <x:f>HYPERLINK("https://bible.usccb.org/bible/readings/021726.cfm","USCCB readings ↗")</x:f>
        <x:v>HYPERLINK is not implemented. linkLocation=https://bible.usccb.org/bible/readings/021726.cfm, friendlyName=USCCB readings ↗</x:v>
      </x:c>
    </x:row>
    <x:row r="49">
      <x:c r="A49" s="38" t="n">
        <x:v>46071</x:v>
      </x:c>
      <x:c r="B49" t="str">
        <x:v>Wednesday</x:v>
      </x:c>
      <x:c r="C49" s="26" t="str">
        <x:v>Lent</x:v>
      </x:c>
      <x:c r="D49" t="str">
        <x:v>Ash Wednesday</x:v>
      </x:c>
      <x:c r="E49" t="str">
        <x:v>Major Day</x:v>
      </x:c>
      <x:c r="F49" s="14" t="str"/>
      <x:c r="G49" s="14" t="str">
        <x:v>✝ Ⓟ</x:v>
      </x:c>
      <x:c r="H49" s="14" t="str"/>
      <x:c r="I49" s="14" t="str"/>
      <x:c r="J49" s="82" t="str">
        <x:v>Ash Wednesday — fast + abstinence</x:v>
      </x:c>
      <x:c r="K49" s="14" t="str"/>
      <x:c r="L49" s="14" t="str"/>
      <x:c r="M49" s="14" t="str"/>
      <x:c r="N49" s="14" t="str">
        <x:v>https://www.usccb.org/resources/2026cal.pdf
https://www.usccb.org/prayer-and-worship/liturgical-year-and-calendar/lent/catholic-information-on-lenten-fast-and-abstinence</x:v>
      </x:c>
      <x:c r="O49" s="115" t="e">
        <x:f>HYPERLINK("https://bible.usccb.org/bible/readings/021826.cfm","USCCB readings ↗")</x:f>
        <x:v>HYPERLINK is not implemented. linkLocation=https://bible.usccb.org/bible/readings/021826.cfm, friendlyName=USCCB readings ↗</x:v>
      </x:c>
    </x:row>
    <x:row r="50">
      <x:c r="A50" s="38" t="n">
        <x:v>46073</x:v>
      </x:c>
      <x:c r="B50" t="str">
        <x:v>Friday</x:v>
      </x:c>
      <x:c r="C50" s="26" t="str">
        <x:v>Lent</x:v>
      </x:c>
      <x:c r="D50" t="str">
        <x:v>Lenten Weekday</x:v>
      </x:c>
      <x:c r="E50" t="str">
        <x:v>Weekday</x:v>
      </x:c>
      <x:c r="F50" s="14" t="str"/>
      <x:c r="G50" s="14" t="str">
        <x:v>Ⓟ</x:v>
      </x:c>
      <x:c r="H50" s="14" t="str"/>
      <x:c r="I50" s="14" t="str"/>
      <x:c r="J50" s="82" t="str">
        <x:v>Lenten Friday — abstinence from meat</x:v>
      </x:c>
      <x:c r="K50" s="14" t="str"/>
      <x:c r="L50" s="14" t="str"/>
      <x:c r="M50" s="14" t="str"/>
      <x:c r="N50" s="14" t="str">
        <x:v>https://www.usccb.org/resources/2026cal.pdf
https://www.usccb.org/prayer-and-worship/liturgical-year-and-calendar/lent/catholic-information-on-lenten-fast-and-abstinence</x:v>
      </x:c>
      <x:c r="O50" s="115" t="e">
        <x:f>HYPERLINK("https://bible.usccb.org/bible/readings/022026.cfm","USCCB readings ↗")</x:f>
        <x:v>HYPERLINK is not implemented. linkLocation=https://bible.usccb.org/bible/readings/022026.cfm, friendlyName=USCCB readings ↗</x:v>
      </x:c>
    </x:row>
    <x:row r="51">
      <x:c r="A51" s="38" t="n">
        <x:v>46074</x:v>
      </x:c>
      <x:c r="B51" t="str">
        <x:v>Saturday</x:v>
      </x:c>
      <x:c r="C51" s="26" t="str">
        <x:v>Lent</x:v>
      </x:c>
      <x:c r="D51" t="str">
        <x:v>Lenten Weekday</x:v>
      </x:c>
      <x:c r="E51" t="str">
        <x:v>Weekday</x:v>
      </x:c>
      <x:c r="F51" s="14" t="str">
        <x:v>Saint Peter Damian [Optional Memorial]</x:v>
      </x:c>
      <x:c r="G51" s="14" t="str">
        <x:v>✦</x:v>
      </x:c>
      <x:c r="H51" s="14" t="str"/>
      <x:c r="I51" s="14" t="str"/>
      <x:c r="J51" s="14" t="str"/>
      <x:c r="K51" s="14" t="str"/>
      <x:c r="L51" s="14" t="str"/>
      <x:c r="M51" s="14" t="str"/>
      <x:c r="N51" s="14" t="str">
        <x:v>https://www.usccb.org/resources/2026cal.pdf</x:v>
      </x:c>
      <x:c r="O51" s="115" t="e">
        <x:f>HYPERLINK("https://bible.usccb.org/bible/readings/022126.cfm","USCCB readings ↗")</x:f>
        <x:v>HYPERLINK is not implemented. linkLocation=https://bible.usccb.org/bible/readings/022126.cfm, friendlyName=USCCB readings ↗</x:v>
      </x:c>
    </x:row>
    <x:row r="52">
      <x:c r="A52" s="38" t="n">
        <x:v>46075</x:v>
      </x:c>
      <x:c r="B52" t="str">
        <x:v>Sunday</x:v>
      </x:c>
      <x:c r="C52" s="26" t="str">
        <x:v>Lent</x:v>
      </x:c>
      <x:c r="D52" t="str">
        <x:v>First Sunday of Lent</x:v>
      </x:c>
      <x:c r="E52" t="str">
        <x:v>Sunday</x:v>
      </x:c>
      <x:c r="F52" s="14" t="str">
        <x:v>Chair of Saint Peter, Apostle [Feast]</x:v>
      </x:c>
      <x:c r="G52" s="14" t="str">
        <x:v>★ ✦ ⛪</x:v>
      </x:c>
      <x:c r="H52" s="78" t="str">
        <x:v>⛪ Sunday Mass obligation</x:v>
      </x:c>
      <x:c r="I52" s="14" t="str"/>
      <x:c r="J52" s="14" t="str"/>
      <x:c r="K52" s="14" t="str"/>
      <x:c r="L52" s="14" t="str"/>
      <x:c r="M52" s="14" t="str">
        <x:v>A fixed observance also falls today, but the Sunday or higher-ranking celebration takes liturgical precedence.</x:v>
      </x:c>
      <x:c r="N52" s="14" t="str">
        <x:v>https://www.usccb.org/resources/2026cal.pdf
https://www.usccb.org/beliefs-and-teachings/what-we-believe/canon-law/complementary-norms/canon-1246</x:v>
      </x:c>
      <x:c r="O52" s="115" t="e">
        <x:f>HYPERLINK("https://bible.usccb.org/bible/readings/022226.cfm","USCCB readings ↗")</x:f>
        <x:v>HYPERLINK is not implemented. linkLocation=https://bible.usccb.org/bible/readings/022226.cfm, friendlyName=USCCB readings ↗</x:v>
      </x:c>
    </x:row>
    <x:row r="53">
      <x:c r="A53" s="38" t="n">
        <x:v>46076</x:v>
      </x:c>
      <x:c r="B53" t="str">
        <x:v>Monday</x:v>
      </x:c>
      <x:c r="C53" s="26" t="str">
        <x:v>Lent</x:v>
      </x:c>
      <x:c r="D53" t="str">
        <x:v>Lenten Weekday</x:v>
      </x:c>
      <x:c r="E53" t="str">
        <x:v>Weekday</x:v>
      </x:c>
      <x:c r="F53" s="14" t="str">
        <x:v>Saint Polycarp [Memorial]</x:v>
      </x:c>
      <x:c r="G53" s="14" t="str">
        <x:v>✦</x:v>
      </x:c>
      <x:c r="H53" s="14" t="str"/>
      <x:c r="I53" s="14" t="str"/>
      <x:c r="J53" s="14" t="str"/>
      <x:c r="K53" s="14" t="str"/>
      <x:c r="L53" s="14" t="str"/>
      <x:c r="M53" s="14" t="str"/>
      <x:c r="N53" s="14" t="str">
        <x:v>https://www.usccb.org/resources/2026cal.pdf</x:v>
      </x:c>
      <x:c r="O53" s="115" t="e">
        <x:f>HYPERLINK("https://bible.usccb.org/bible/readings/022326.cfm","USCCB readings ↗")</x:f>
        <x:v>HYPERLINK is not implemented. linkLocation=https://bible.usccb.org/bible/readings/022326.cfm, friendlyName=USCCB readings ↗</x:v>
      </x:c>
    </x:row>
    <x:row r="54">
      <x:c r="A54" s="38" t="n">
        <x:v>46078</x:v>
      </x:c>
      <x:c r="B54" t="str">
        <x:v>Wednesday</x:v>
      </x:c>
      <x:c r="C54" s="26" t="str">
        <x:v>Lent</x:v>
      </x:c>
      <x:c r="D54" t="str">
        <x:v>Lenten Weekday</x:v>
      </x:c>
      <x:c r="E54" t="str">
        <x:v>Weekday</x:v>
      </x:c>
      <x:c r="F54" s="14" t="str"/>
      <x:c r="G54" s="14" t="str">
        <x:v>🕯</x:v>
      </x:c>
      <x:c r="H54" s="14" t="str"/>
      <x:c r="I54" s="14" t="str"/>
      <x:c r="J54" s="14" t="str"/>
      <x:c r="K54" s="84" t="str">
        <x:v>🕯 Traditional Ember Day</x:v>
      </x:c>
      <x:c r="L54" s="14" t="str"/>
      <x:c r="M54" s="14" t="str"/>
      <x:c r="N54" s="14" t="str">
        <x:v>https://www.usccb.org/resources/2026cal.pdf
https://www.newadvent.org/cathen/05399b.htm</x:v>
      </x:c>
      <x:c r="O54" s="115" t="e">
        <x:f>HYPERLINK("https://bible.usccb.org/bible/readings/022526.cfm","USCCB readings ↗")</x:f>
        <x:v>HYPERLINK is not implemented. linkLocation=https://bible.usccb.org/bible/readings/022526.cfm, friendlyName=USCCB readings ↗</x:v>
      </x:c>
    </x:row>
    <x:row r="55">
      <x:c r="A55" s="38" t="n">
        <x:v>46080</x:v>
      </x:c>
      <x:c r="B55" t="str">
        <x:v>Friday</x:v>
      </x:c>
      <x:c r="C55" s="26" t="str">
        <x:v>Lent</x:v>
      </x:c>
      <x:c r="D55" t="str">
        <x:v>Lenten Weekday</x:v>
      </x:c>
      <x:c r="E55" t="str">
        <x:v>Weekday</x:v>
      </x:c>
      <x:c r="F55" s="14" t="str">
        <x:v>Saint Gregory of Narek [Optional Memorial]</x:v>
      </x:c>
      <x:c r="G55" s="14" t="str">
        <x:v>✦ Ⓟ 🕯</x:v>
      </x:c>
      <x:c r="H55" s="14" t="str"/>
      <x:c r="I55" s="14" t="str"/>
      <x:c r="J55" s="82" t="str">
        <x:v>Lenten Friday — abstinence from meat</x:v>
      </x:c>
      <x:c r="K55" s="84" t="str">
        <x:v>🕯 Traditional Ember Day</x:v>
      </x:c>
      <x:c r="L55" s="14" t="str"/>
      <x:c r="M55" s="14" t="str"/>
      <x:c r="N55" s="14" t="str">
        <x:v>https://www.usccb.org/resources/2026cal.pdf
https://www.usccb.org/prayer-and-worship/liturgical-year-and-calendar/lent/catholic-information-on-lenten-fast-and-abstinence
https://www.newadvent.org/cathen/05399b.htm</x:v>
      </x:c>
      <x:c r="O55" s="115" t="e">
        <x:f>HYPERLINK("https://bible.usccb.org/bible/readings/022726.cfm","USCCB readings ↗")</x:f>
        <x:v>HYPERLINK is not implemented. linkLocation=https://bible.usccb.org/bible/readings/022726.cfm, friendlyName=USCCB readings ↗</x:v>
      </x:c>
    </x:row>
    <x:row r="56">
      <x:c r="A56" s="38" t="n">
        <x:v>46081</x:v>
      </x:c>
      <x:c r="B56" t="str">
        <x:v>Saturday</x:v>
      </x:c>
      <x:c r="C56" s="26" t="str">
        <x:v>Lent</x:v>
      </x:c>
      <x:c r="D56" t="str">
        <x:v>Lenten Weekday</x:v>
      </x:c>
      <x:c r="E56" t="str">
        <x:v>Weekday</x:v>
      </x:c>
      <x:c r="F56" s="14" t="str"/>
      <x:c r="G56" s="14" t="str">
        <x:v>🕯</x:v>
      </x:c>
      <x:c r="H56" s="14" t="str"/>
      <x:c r="I56" s="14" t="str"/>
      <x:c r="J56" s="14" t="str"/>
      <x:c r="K56" s="84" t="str">
        <x:v>🕯 Traditional Ember Day</x:v>
      </x:c>
      <x:c r="L56" s="14" t="str"/>
      <x:c r="M56" s="14" t="str"/>
      <x:c r="N56" s="14" t="str">
        <x:v>https://www.usccb.org/resources/2026cal.pdf
https://www.newadvent.org/cathen/05399b.htm</x:v>
      </x:c>
      <x:c r="O56" s="115" t="e">
        <x:f>HYPERLINK("https://bible.usccb.org/bible/readings/022826.cfm","USCCB readings ↗")</x:f>
        <x:v>HYPERLINK is not implemented. linkLocation=https://bible.usccb.org/bible/readings/022826.cfm, friendlyName=USCCB readings ↗</x:v>
      </x:c>
    </x:row>
    <x:row r="57">
      <x:c r="A57" s="38" t="n">
        <x:v>46082</x:v>
      </x:c>
      <x:c r="B57" t="str">
        <x:v>Sunday</x:v>
      </x:c>
      <x:c r="C57" s="26" t="str">
        <x:v>Lent</x:v>
      </x:c>
      <x:c r="D57" t="str">
        <x:v>Second Sunday of Lent</x:v>
      </x:c>
      <x:c r="E57" t="str">
        <x:v>Sunday</x:v>
      </x:c>
      <x:c r="F57" s="14" t="str"/>
      <x:c r="G57" s="14" t="str">
        <x:v>⛪</x:v>
      </x:c>
      <x:c r="H57" s="78" t="str">
        <x:v>⛪ Sunday Mass obligation</x:v>
      </x:c>
      <x:c r="I57" s="14" t="str"/>
      <x:c r="J57" s="14" t="str"/>
      <x:c r="K57" s="14" t="str"/>
      <x:c r="L57" s="14" t="str"/>
      <x:c r="M57" s="14" t="str"/>
      <x:c r="N57" s="14" t="str">
        <x:v>https://www.usccb.org/resources/2026cal.pdf
https://www.usccb.org/beliefs-and-teachings/what-we-believe/canon-law/complementary-norms/canon-1246</x:v>
      </x:c>
      <x:c r="O57" s="115" t="e">
        <x:f>HYPERLINK("https://bible.usccb.org/bible/readings/030126.cfm","USCCB readings ↗")</x:f>
        <x:v>HYPERLINK is not implemented. linkLocation=https://bible.usccb.org/bible/readings/030126.cfm, friendlyName=USCCB readings ↗</x:v>
      </x:c>
    </x:row>
    <x:row r="58">
      <x:c r="A58" s="38" t="n">
        <x:v>46084</x:v>
      </x:c>
      <x:c r="B58" t="str">
        <x:v>Tuesday</x:v>
      </x:c>
      <x:c r="C58" s="26" t="str">
        <x:v>Lent</x:v>
      </x:c>
      <x:c r="D58" t="str">
        <x:v>Lenten Weekday</x:v>
      </x:c>
      <x:c r="E58" t="str">
        <x:v>Weekday</x:v>
      </x:c>
      <x:c r="F58" s="14" t="str">
        <x:v>Saint Katharine Drexel [Optional Memorial]</x:v>
      </x:c>
      <x:c r="G58" s="14" t="str">
        <x:v>✦</x:v>
      </x:c>
      <x:c r="H58" s="14" t="str"/>
      <x:c r="I58" s="14" t="str"/>
      <x:c r="J58" s="14" t="str"/>
      <x:c r="K58" s="14" t="str"/>
      <x:c r="L58" s="14" t="str"/>
      <x:c r="M58" s="14" t="str"/>
      <x:c r="N58" s="14" t="str">
        <x:v>https://www.usccb.org/resources/2026cal.pdf</x:v>
      </x:c>
      <x:c r="O58" s="115" t="e">
        <x:f>HYPERLINK("https://bible.usccb.org/bible/readings/030326.cfm","USCCB readings ↗")</x:f>
        <x:v>HYPERLINK is not implemented. linkLocation=https://bible.usccb.org/bible/readings/030326.cfm, friendlyName=USCCB readings ↗</x:v>
      </x:c>
    </x:row>
    <x:row r="59">
      <x:c r="A59" s="38" t="n">
        <x:v>46085</x:v>
      </x:c>
      <x:c r="B59" t="str">
        <x:v>Wednesday</x:v>
      </x:c>
      <x:c r="C59" s="26" t="str">
        <x:v>Lent</x:v>
      </x:c>
      <x:c r="D59" t="str">
        <x:v>Lenten Weekday</x:v>
      </x:c>
      <x:c r="E59" t="str">
        <x:v>Weekday</x:v>
      </x:c>
      <x:c r="F59" s="14" t="str">
        <x:v>Saint Casimir [Optional Memorial]</x:v>
      </x:c>
      <x:c r="G59" s="14" t="str">
        <x:v>✦</x:v>
      </x:c>
      <x:c r="H59" s="14" t="str"/>
      <x:c r="I59" s="14" t="str"/>
      <x:c r="J59" s="14" t="str"/>
      <x:c r="K59" s="14" t="str"/>
      <x:c r="L59" s="14" t="str"/>
      <x:c r="M59" s="14" t="str"/>
      <x:c r="N59" s="14" t="str">
        <x:v>https://www.usccb.org/resources/2026cal.pdf</x:v>
      </x:c>
      <x:c r="O59" s="115" t="e">
        <x:f>HYPERLINK("https://bible.usccb.org/bible/readings/030426.cfm","USCCB readings ↗")</x:f>
        <x:v>HYPERLINK is not implemented. linkLocation=https://bible.usccb.org/bible/readings/030426.cfm, friendlyName=USCCB readings ↗</x:v>
      </x:c>
    </x:row>
    <x:row r="60">
      <x:c r="A60" s="38" t="n">
        <x:v>46087</x:v>
      </x:c>
      <x:c r="B60" t="str">
        <x:v>Friday</x:v>
      </x:c>
      <x:c r="C60" s="26" t="str">
        <x:v>Lent</x:v>
      </x:c>
      <x:c r="D60" t="str">
        <x:v>Lenten Weekday</x:v>
      </x:c>
      <x:c r="E60" t="str">
        <x:v>Weekday</x:v>
      </x:c>
      <x:c r="F60" s="14" t="str"/>
      <x:c r="G60" s="14" t="str">
        <x:v>🙏 Ⓟ</x:v>
      </x:c>
      <x:c r="H60" s="14" t="str"/>
      <x:c r="I60" s="80" t="str">
        <x:v>❤ First Friday — Sacred Heart devotion</x:v>
      </x:c>
      <x:c r="J60" s="82" t="str">
        <x:v>Lenten Friday — abstinence from meat</x:v>
      </x:c>
      <x:c r="K60" s="14" t="str"/>
      <x:c r="L60" s="14" t="str"/>
      <x:c r="M60" s="14" t="str"/>
      <x:c r="N60" s="14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60" s="115" t="e">
        <x:f>HYPERLINK("https://bible.usccb.org/bible/readings/030626.cfm","USCCB readings ↗")</x:f>
        <x:v>HYPERLINK is not implemented. linkLocation=https://bible.usccb.org/bible/readings/030626.cfm, friendlyName=USCCB readings ↗</x:v>
      </x:c>
    </x:row>
    <x:row r="61">
      <x:c r="A61" s="38" t="n">
        <x:v>46088</x:v>
      </x:c>
      <x:c r="B61" t="str">
        <x:v>Saturday</x:v>
      </x:c>
      <x:c r="C61" s="26" t="str">
        <x:v>Lent</x:v>
      </x:c>
      <x:c r="D61" t="str">
        <x:v>Lenten Weekday</x:v>
      </x:c>
      <x:c r="E61" t="str">
        <x:v>Weekday</x:v>
      </x:c>
      <x:c r="F61" s="76" t="str">
        <x:v>Saints Perpetua and Felicity [Memorial]</x:v>
      </x:c>
      <x:c r="G61" s="14" t="str">
        <x:v>✦ 🙏 🌹</x:v>
      </x:c>
      <x:c r="H61" s="14" t="str"/>
      <x:c r="I61" s="80" t="str">
        <x:v>🌹 First Saturday — Immaculate Heart devotion</x:v>
      </x:c>
      <x:c r="J61" s="14" t="str"/>
      <x:c r="K61" s="14" t="str"/>
      <x:c r="L61" s="14" t="str"/>
      <x:c r="M61" s="14" t="str"/>
      <x:c r="N61" s="14" t="str">
        <x:v>https://www.usccb.org/resources/2026cal.pdf
https://www.ewtn.com/catholicism/library/revelation-of-the-immaculate-heart-at-fatima-in-1917-5465</x:v>
      </x:c>
      <x:c r="O61" s="115" t="e">
        <x:f>HYPERLINK("https://bible.usccb.org/bible/readings/030726.cfm","USCCB readings ↗")</x:f>
        <x:v>HYPERLINK is not implemented. linkLocation=https://bible.usccb.org/bible/readings/030726.cfm, friendlyName=USCCB readings ↗</x:v>
      </x:c>
    </x:row>
    <x:row r="62">
      <x:c r="A62" s="38" t="n">
        <x:v>46089</x:v>
      </x:c>
      <x:c r="B62" t="str">
        <x:v>Sunday</x:v>
      </x:c>
      <x:c r="C62" s="26" t="str">
        <x:v>Lent</x:v>
      </x:c>
      <x:c r="D62" t="str">
        <x:v>Third Sunday of Lent</x:v>
      </x:c>
      <x:c r="E62" t="str">
        <x:v>Sunday</x:v>
      </x:c>
      <x:c r="F62" s="14" t="str">
        <x:v>Saint John of God [Optional Memorial]</x:v>
      </x:c>
      <x:c r="G62" s="14" t="str">
        <x:v>✦ ⛪</x:v>
      </x:c>
      <x:c r="H62" s="78" t="str">
        <x:v>⛪ Sunday Mass obligation</x:v>
      </x:c>
      <x:c r="I62" s="14" t="str"/>
      <x:c r="J62" s="14" t="str"/>
      <x:c r="K62" s="14" t="str"/>
      <x:c r="L62" s="14" t="str"/>
      <x:c r="M62" s="14" t="str">
        <x:v>A fixed observance also falls today, but the Sunday or higher-ranking celebration takes liturgical precedence.</x:v>
      </x:c>
      <x:c r="N62" s="14" t="str">
        <x:v>https://www.usccb.org/resources/2026cal.pdf
https://www.usccb.org/beliefs-and-teachings/what-we-believe/canon-law/complementary-norms/canon-1246</x:v>
      </x:c>
      <x:c r="O62" s="115" t="e">
        <x:f>HYPERLINK("https://bible.usccb.org/bible/readings/030826.cfm","USCCB readings ↗")</x:f>
        <x:v>HYPERLINK is not implemented. linkLocation=https://bible.usccb.org/bible/readings/030826.cfm, friendlyName=USCCB readings ↗</x:v>
      </x:c>
    </x:row>
    <x:row r="63">
      <x:c r="A63" s="38" t="n">
        <x:v>46090</x:v>
      </x:c>
      <x:c r="B63" t="str">
        <x:v>Monday</x:v>
      </x:c>
      <x:c r="C63" s="26" t="str">
        <x:v>Lent</x:v>
      </x:c>
      <x:c r="D63" t="str">
        <x:v>Lenten Weekday</x:v>
      </x:c>
      <x:c r="E63" t="str">
        <x:v>Weekday</x:v>
      </x:c>
      <x:c r="F63" s="14" t="str">
        <x:v>Saint Frances of Rome [Optional Memorial]</x:v>
      </x:c>
      <x:c r="G63" s="14" t="str">
        <x:v>✦</x:v>
      </x:c>
      <x:c r="H63" s="14" t="str"/>
      <x:c r="I63" s="14" t="str"/>
      <x:c r="J63" s="14" t="str"/>
      <x:c r="K63" s="14" t="str"/>
      <x:c r="L63" s="14" t="str"/>
      <x:c r="M63" s="14" t="str"/>
      <x:c r="N63" s="14" t="str">
        <x:v>https://www.usccb.org/resources/2026cal.pdf</x:v>
      </x:c>
      <x:c r="O63" s="115" t="e">
        <x:f>HYPERLINK("https://bible.usccb.org/bible/readings/030926.cfm","USCCB readings ↗")</x:f>
        <x:v>HYPERLINK is not implemented. linkLocation=https://bible.usccb.org/bible/readings/030926.cfm, friendlyName=USCCB readings ↗</x:v>
      </x:c>
    </x:row>
    <x:row r="64">
      <x:c r="A64" s="38" t="n">
        <x:v>46091</x:v>
      </x:c>
      <x:c r="B64" t="str">
        <x:v>Tuesday</x:v>
      </x:c>
      <x:c r="C64" s="26" t="str">
        <x:v>Lent</x:v>
      </x:c>
      <x:c r="D64" t="str">
        <x:v>Lenten Weekday</x:v>
      </x:c>
      <x:c r="E64" t="str">
        <x:v>Weekday</x:v>
      </x:c>
      <x:c r="F64" s="14" t="str"/>
      <x:c r="G64" s="14" t="str">
        <x:v>🙏</x:v>
      </x:c>
      <x:c r="H64" s="14" t="str"/>
      <x:c r="I64" s="80" t="str">
        <x:v>🙏 Novena for Saint Joseph — Day 1/9 [START]</x:v>
      </x:c>
      <x:c r="J64" s="14" t="str"/>
      <x:c r="K64" s="14" t="str"/>
      <x:c r="L64" s="14" t="str"/>
      <x:c r="M64" s="14" t="str"/>
      <x:c r="N64" s="14" t="str">
        <x:v>https://www.usccb.org/resources/2026cal.pdf
https://www.usccb.org/prayer-and-worship/prayers-and-devotions/prayers/novena-for-the-solemnity-of-saint-joseph</x:v>
      </x:c>
      <x:c r="O64" s="115" t="e">
        <x:f>HYPERLINK("https://bible.usccb.org/bible/readings/031026.cfm","USCCB readings ↗")</x:f>
        <x:v>HYPERLINK is not implemented. linkLocation=https://bible.usccb.org/bible/readings/031026.cfm, friendlyName=USCCB readings ↗</x:v>
      </x:c>
    </x:row>
    <x:row r="65">
      <x:c r="A65" s="38" t="n">
        <x:v>46092</x:v>
      </x:c>
      <x:c r="B65" t="str">
        <x:v>Wednesday</x:v>
      </x:c>
      <x:c r="C65" s="26" t="str">
        <x:v>Lent</x:v>
      </x:c>
      <x:c r="D65" t="str">
        <x:v>Lenten Weekday</x:v>
      </x:c>
      <x:c r="E65" t="str">
        <x:v>Weekday</x:v>
      </x:c>
      <x:c r="F65" s="14" t="str"/>
      <x:c r="G65" s="14" t="str">
        <x:v>🙏</x:v>
      </x:c>
      <x:c r="H65" s="14" t="str"/>
      <x:c r="I65" s="80" t="str">
        <x:v>🙏 Novena for Saint Joseph — Day 2/9</x:v>
      </x:c>
      <x:c r="J65" s="14" t="str"/>
      <x:c r="K65" s="14" t="str"/>
      <x:c r="L65" s="14" t="str"/>
      <x:c r="M65" s="14" t="str"/>
      <x:c r="N65" s="14" t="str">
        <x:v>https://www.usccb.org/resources/2026cal.pdf
https://www.usccb.org/prayer-and-worship/prayers-and-devotions/prayers/novena-for-the-solemnity-of-saint-joseph</x:v>
      </x:c>
      <x:c r="O65" s="115" t="e">
        <x:f>HYPERLINK("https://bible.usccb.org/bible/readings/031126.cfm","USCCB readings ↗")</x:f>
        <x:v>HYPERLINK is not implemented. linkLocation=https://bible.usccb.org/bible/readings/031126.cfm, friendlyName=USCCB readings ↗</x:v>
      </x:c>
    </x:row>
    <x:row r="66">
      <x:c r="A66" s="38" t="n">
        <x:v>46093</x:v>
      </x:c>
      <x:c r="B66" t="str">
        <x:v>Thursday</x:v>
      </x:c>
      <x:c r="C66" s="26" t="str">
        <x:v>Lent</x:v>
      </x:c>
      <x:c r="D66" t="str">
        <x:v>Lenten Weekday</x:v>
      </x:c>
      <x:c r="E66" t="str">
        <x:v>Weekday</x:v>
      </x:c>
      <x:c r="F66" s="14" t="str"/>
      <x:c r="G66" s="14" t="str">
        <x:v>🙏</x:v>
      </x:c>
      <x:c r="H66" s="14" t="str"/>
      <x:c r="I66" s="80" t="str">
        <x:v>🙏 Novena for Saint Joseph — Day 3/9</x:v>
      </x:c>
      <x:c r="J66" s="14" t="str"/>
      <x:c r="K66" s="14" t="str"/>
      <x:c r="L66" s="14" t="str"/>
      <x:c r="M66" s="14" t="str"/>
      <x:c r="N66" s="14" t="str">
        <x:v>https://www.usccb.org/resources/2026cal.pdf
https://www.usccb.org/prayer-and-worship/prayers-and-devotions/prayers/novena-for-the-solemnity-of-saint-joseph</x:v>
      </x:c>
      <x:c r="O66" s="115" t="e">
        <x:f>HYPERLINK("https://bible.usccb.org/bible/readings/031226.cfm","USCCB readings ↗")</x:f>
        <x:v>HYPERLINK is not implemented. linkLocation=https://bible.usccb.org/bible/readings/031226.cfm, friendlyName=USCCB readings ↗</x:v>
      </x:c>
    </x:row>
    <x:row r="67">
      <x:c r="A67" s="38" t="n">
        <x:v>46094</x:v>
      </x:c>
      <x:c r="B67" t="str">
        <x:v>Friday</x:v>
      </x:c>
      <x:c r="C67" s="26" t="str">
        <x:v>Lent</x:v>
      </x:c>
      <x:c r="D67" t="str">
        <x:v>Lenten Weekday</x:v>
      </x:c>
      <x:c r="E67" t="str">
        <x:v>Weekday</x:v>
      </x:c>
      <x:c r="F67" s="14" t="str"/>
      <x:c r="G67" s="14" t="str">
        <x:v>🙏 Ⓟ</x:v>
      </x:c>
      <x:c r="H67" s="14" t="str"/>
      <x:c r="I67" s="80" t="str">
        <x:v>🙏 Novena for Saint Joseph — Day 4/9</x:v>
      </x:c>
      <x:c r="J67" s="82" t="str">
        <x:v>Lenten Friday — abstinence from meat</x:v>
      </x:c>
      <x:c r="K67" s="14" t="str"/>
      <x:c r="L67" s="14" t="str"/>
      <x:c r="M67" s="14" t="str"/>
      <x:c r="N67" s="14" t="str">
        <x:v>https://www.usccb.org/resources/2026cal.pdf
https://www.usccb.org/prayer-and-worship/prayers-and-devotions/prayers/novena-for-the-solemnity-of-saint-joseph
https://www.usccb.org/prayer-and-worship/liturgical-year-and-calendar/lent/catholic-information-on-lenten-fast-and-abstinence</x:v>
      </x:c>
      <x:c r="O67" s="115" t="e">
        <x:f>HYPERLINK("https://bible.usccb.org/bible/readings/031326.cfm","USCCB readings ↗")</x:f>
        <x:v>HYPERLINK is not implemented. linkLocation=https://bible.usccb.org/bible/readings/031326.cfm, friendlyName=USCCB readings ↗</x:v>
      </x:c>
    </x:row>
    <x:row r="68">
      <x:c r="A68" s="38" t="n">
        <x:v>46095</x:v>
      </x:c>
      <x:c r="B68" t="str">
        <x:v>Saturday</x:v>
      </x:c>
      <x:c r="C68" s="26" t="str">
        <x:v>Lent</x:v>
      </x:c>
      <x:c r="D68" t="str">
        <x:v>Lenten Weekday</x:v>
      </x:c>
      <x:c r="E68" t="str">
        <x:v>Weekday</x:v>
      </x:c>
      <x:c r="F68" s="14" t="str"/>
      <x:c r="G68" s="14" t="str">
        <x:v>🙏</x:v>
      </x:c>
      <x:c r="H68" s="14" t="str"/>
      <x:c r="I68" s="80" t="str">
        <x:v>🙏 Novena for Saint Joseph — Day 5/9</x:v>
      </x:c>
      <x:c r="J68" s="14" t="str"/>
      <x:c r="K68" s="14" t="str"/>
      <x:c r="L68" s="14" t="str"/>
      <x:c r="M68" s="14" t="str"/>
      <x:c r="N68" s="14" t="str">
        <x:v>https://www.usccb.org/resources/2026cal.pdf
https://www.usccb.org/prayer-and-worship/prayers-and-devotions/prayers/novena-for-the-solemnity-of-saint-joseph</x:v>
      </x:c>
      <x:c r="O68" s="115" t="e">
        <x:f>HYPERLINK("https://bible.usccb.org/bible/readings/031426.cfm","USCCB readings ↗")</x:f>
        <x:v>HYPERLINK is not implemented. linkLocation=https://bible.usccb.org/bible/readings/031426.cfm, friendlyName=USCCB readings ↗</x:v>
      </x:c>
    </x:row>
    <x:row r="69">
      <x:c r="A69" s="38" t="n">
        <x:v>46096</x:v>
      </x:c>
      <x:c r="B69" t="str">
        <x:v>Sunday</x:v>
      </x:c>
      <x:c r="C69" s="26" t="str">
        <x:v>Lent</x:v>
      </x:c>
      <x:c r="D69" t="str">
        <x:v>Fourth Sunday of Lent — Laetare</x:v>
      </x:c>
      <x:c r="E69" t="str">
        <x:v>Sunday</x:v>
      </x:c>
      <x:c r="F69" s="14" t="str"/>
      <x:c r="G69" s="14" t="str">
        <x:v>⛪ 🙏</x:v>
      </x:c>
      <x:c r="H69" s="78" t="str">
        <x:v>⛪ Sunday Mass obligation</x:v>
      </x:c>
      <x:c r="I69" s="80" t="str">
        <x:v>🙏 Novena for Saint Joseph — Day 6/9</x:v>
      </x:c>
      <x:c r="J69" s="14" t="str"/>
      <x:c r="K69" s="14" t="str"/>
      <x:c r="L69" s="14" t="str"/>
      <x:c r="M69" s="14" t="str"/>
      <x:c r="N69" s="14" t="str">
        <x:v>https://www.usccb.org/resources/2026cal.pdf
https://www.usccb.org/beliefs-and-teachings/what-we-believe/canon-law/complementary-norms/canon-1246
https://www.usccb.org/prayer-and-worship/prayers-and-devotions/prayers/novena-for-the-solemnity-of-saint-joseph</x:v>
      </x:c>
      <x:c r="O69" s="115" t="e">
        <x:f>HYPERLINK("https://bible.usccb.org/bible/readings/031526.cfm","USCCB readings ↗")</x:f>
        <x:v>HYPERLINK is not implemented. linkLocation=https://bible.usccb.org/bible/readings/031526.cfm, friendlyName=USCCB readings ↗</x:v>
      </x:c>
    </x:row>
    <x:row r="70">
      <x:c r="A70" s="38" t="n">
        <x:v>46097</x:v>
      </x:c>
      <x:c r="B70" t="str">
        <x:v>Monday</x:v>
      </x:c>
      <x:c r="C70" s="26" t="str">
        <x:v>Lent</x:v>
      </x:c>
      <x:c r="D70" t="str">
        <x:v>Lenten Weekday</x:v>
      </x:c>
      <x:c r="E70" t="str">
        <x:v>Weekday</x:v>
      </x:c>
      <x:c r="F70" s="14" t="str"/>
      <x:c r="G70" s="14" t="str">
        <x:v>🙏</x:v>
      </x:c>
      <x:c r="H70" s="14" t="str"/>
      <x:c r="I70" s="80" t="str">
        <x:v>🙏 Novena for Saint Joseph — Day 7/9</x:v>
      </x:c>
      <x:c r="J70" s="14" t="str"/>
      <x:c r="K70" s="14" t="str"/>
      <x:c r="L70" s="14" t="str"/>
      <x:c r="M70" s="14" t="str"/>
      <x:c r="N70" s="14" t="str">
        <x:v>https://www.usccb.org/resources/2026cal.pdf
https://www.usccb.org/prayer-and-worship/prayers-and-devotions/prayers/novena-for-the-solemnity-of-saint-joseph</x:v>
      </x:c>
      <x:c r="O70" s="115" t="e">
        <x:f>HYPERLINK("https://bible.usccb.org/bible/readings/031626.cfm","USCCB readings ↗")</x:f>
        <x:v>HYPERLINK is not implemented. linkLocation=https://bible.usccb.org/bible/readings/031626.cfm, friendlyName=USCCB readings ↗</x:v>
      </x:c>
    </x:row>
    <x:row r="71">
      <x:c r="A71" s="38" t="n">
        <x:v>46098</x:v>
      </x:c>
      <x:c r="B71" t="str">
        <x:v>Tuesday</x:v>
      </x:c>
      <x:c r="C71" s="26" t="str">
        <x:v>Lent</x:v>
      </x:c>
      <x:c r="D71" t="str">
        <x:v>Lenten Weekday</x:v>
      </x:c>
      <x:c r="E71" t="str">
        <x:v>Weekday</x:v>
      </x:c>
      <x:c r="F71" s="14" t="str">
        <x:v>Saint Patrick [Optional Memorial]</x:v>
      </x:c>
      <x:c r="G71" s="14" t="str">
        <x:v>✦ 🙏</x:v>
      </x:c>
      <x:c r="H71" s="14" t="str"/>
      <x:c r="I71" s="80" t="str">
        <x:v>🙏 Novena for Saint Joseph — Day 8/9</x:v>
      </x:c>
      <x:c r="J71" s="14" t="str"/>
      <x:c r="K71" s="14" t="str"/>
      <x:c r="L71" s="14" t="str"/>
      <x:c r="M71" s="14" t="str"/>
      <x:c r="N71" s="14" t="str">
        <x:v>https://www.usccb.org/resources/2026cal.pdf
https://www.usccb.org/prayer-and-worship/prayers-and-devotions/prayers/novena-for-the-solemnity-of-saint-joseph</x:v>
      </x:c>
      <x:c r="O71" s="115" t="e">
        <x:f>HYPERLINK("https://bible.usccb.org/bible/readings/031726.cfm","USCCB readings ↗")</x:f>
        <x:v>HYPERLINK is not implemented. linkLocation=https://bible.usccb.org/bible/readings/031726.cfm, friendlyName=USCCB readings ↗</x:v>
      </x:c>
    </x:row>
    <x:row r="72">
      <x:c r="A72" s="38" t="n">
        <x:v>46099</x:v>
      </x:c>
      <x:c r="B72" t="str">
        <x:v>Wednesday</x:v>
      </x:c>
      <x:c r="C72" s="26" t="str">
        <x:v>Lent</x:v>
      </x:c>
      <x:c r="D72" t="str">
        <x:v>Lenten Weekday</x:v>
      </x:c>
      <x:c r="E72" t="str">
        <x:v>Weekday</x:v>
      </x:c>
      <x:c r="F72" s="14" t="str">
        <x:v>Saint Cyril of Jerusalem [Optional Memorial]</x:v>
      </x:c>
      <x:c r="G72" s="14" t="str">
        <x:v>✦ 🙏</x:v>
      </x:c>
      <x:c r="H72" s="14" t="str"/>
      <x:c r="I72" s="80" t="str">
        <x:v>🙏 Novena for Saint Joseph — Day 9/9 [END]</x:v>
      </x:c>
      <x:c r="J72" s="14" t="str"/>
      <x:c r="K72" s="14" t="str"/>
      <x:c r="L72" s="14" t="str"/>
      <x:c r="M72" s="14" t="str"/>
      <x:c r="N72" s="14" t="str">
        <x:v>https://www.usccb.org/resources/2026cal.pdf
https://www.usccb.org/prayer-and-worship/prayers-and-devotions/prayers/novena-for-the-solemnity-of-saint-joseph</x:v>
      </x:c>
      <x:c r="O72" s="115" t="e">
        <x:f>HYPERLINK("https://bible.usccb.org/bible/readings/031826.cfm","USCCB readings ↗")</x:f>
        <x:v>HYPERLINK is not implemented. linkLocation=https://bible.usccb.org/bible/readings/031826.cfm, friendlyName=USCCB readings ↗</x:v>
      </x:c>
    </x:row>
    <x:row r="73">
      <x:c r="A73" s="38" t="n">
        <x:v>46100</x:v>
      </x:c>
      <x:c r="B73" t="str">
        <x:v>Thursday</x:v>
      </x:c>
      <x:c r="C73" s="26" t="str">
        <x:v>Lent</x:v>
      </x:c>
      <x:c r="D73" t="str">
        <x:v>Saint Joseph, Spouse of the Blessed Virgin Mary</x:v>
      </x:c>
      <x:c r="E73" t="str">
        <x:v>Solemnity</x:v>
      </x:c>
      <x:c r="F73" s="14" t="str">
        <x:v>Saint Joseph, Spouse of the Blessed Virgin Mary [Solemnity]</x:v>
      </x:c>
      <x:c r="G73" s="14" t="str">
        <x:v>★ ✦</x:v>
      </x:c>
      <x:c r="H73" s="14" t="str"/>
      <x:c r="I73" s="14" t="str"/>
      <x:c r="J73" s="14" t="str"/>
      <x:c r="K73" s="14" t="str"/>
      <x:c r="L73" s="14" t="str"/>
      <x:c r="M73" s="14" t="str"/>
      <x:c r="N73" s="14" t="str">
        <x:v>https://www.usccb.org/resources/2026cal.pdf</x:v>
      </x:c>
      <x:c r="O73" s="115" t="e">
        <x:f>HYPERLINK("https://bible.usccb.org/bible/readings/031926.cfm","USCCB readings ↗")</x:f>
        <x:v>HYPERLINK is not implemented. linkLocation=https://bible.usccb.org/bible/readings/031926.cfm, friendlyName=USCCB readings ↗</x:v>
      </x:c>
    </x:row>
    <x:row r="74">
      <x:c r="A74" s="38" t="n">
        <x:v>46101</x:v>
      </x:c>
      <x:c r="B74" t="str">
        <x:v>Friday</x:v>
      </x:c>
      <x:c r="C74" s="26" t="str">
        <x:v>Lent</x:v>
      </x:c>
      <x:c r="D74" t="str">
        <x:v>Lenten Weekday</x:v>
      </x:c>
      <x:c r="E74" t="str">
        <x:v>Weekday</x:v>
      </x:c>
      <x:c r="F74" s="14" t="str"/>
      <x:c r="G74" s="14" t="str">
        <x:v>Ⓟ</x:v>
      </x:c>
      <x:c r="H74" s="14" t="str"/>
      <x:c r="I74" s="14" t="str"/>
      <x:c r="J74" s="82" t="str">
        <x:v>Lenten Friday — abstinence from meat</x:v>
      </x:c>
      <x:c r="K74" s="14" t="str"/>
      <x:c r="L74" s="14" t="str"/>
      <x:c r="M74" s="14" t="str"/>
      <x:c r="N74" s="14" t="str">
        <x:v>https://www.usccb.org/resources/2026cal.pdf
https://www.usccb.org/prayer-and-worship/liturgical-year-and-calendar/lent/catholic-information-on-lenten-fast-and-abstinence</x:v>
      </x:c>
      <x:c r="O74" s="115" t="e">
        <x:f>HYPERLINK("https://bible.usccb.org/bible/readings/032026.cfm","USCCB readings ↗")</x:f>
        <x:v>HYPERLINK is not implemented. linkLocation=https://bible.usccb.org/bible/readings/032026.cfm, friendlyName=USCCB readings ↗</x:v>
      </x:c>
    </x:row>
    <x:row r="75">
      <x:c r="A75" s="38" t="n">
        <x:v>46103</x:v>
      </x:c>
      <x:c r="B75" t="str">
        <x:v>Sunday</x:v>
      </x:c>
      <x:c r="C75" s="26" t="str">
        <x:v>Lent</x:v>
      </x:c>
      <x:c r="D75" t="str">
        <x:v>Fifth Sunday of Lent</x:v>
      </x:c>
      <x:c r="E75" t="str">
        <x:v>Sunday</x:v>
      </x:c>
      <x:c r="F75" s="14" t="str"/>
      <x:c r="G75" s="14" t="str">
        <x:v>⛪</x:v>
      </x:c>
      <x:c r="H75" s="78" t="str">
        <x:v>⛪ Sunday Mass obligation</x:v>
      </x:c>
      <x:c r="I75" s="14" t="str"/>
      <x:c r="J75" s="14" t="str"/>
      <x:c r="K75" s="14" t="str"/>
      <x:c r="L75" s="14" t="str"/>
      <x:c r="M75" s="14" t="str"/>
      <x:c r="N75" s="14" t="str">
        <x:v>https://www.usccb.org/resources/2026cal.pdf
https://www.usccb.org/beliefs-and-teachings/what-we-believe/canon-law/complementary-norms/canon-1246</x:v>
      </x:c>
      <x:c r="O75" s="115" t="e">
        <x:f>HYPERLINK("https://bible.usccb.org/bible/readings/032226.cfm","USCCB readings ↗")</x:f>
        <x:v>HYPERLINK is not implemented. linkLocation=https://bible.usccb.org/bible/readings/032226.cfm, friendlyName=USCCB readings ↗</x:v>
      </x:c>
    </x:row>
    <x:row r="76">
      <x:c r="A76" s="38" t="n">
        <x:v>46104</x:v>
      </x:c>
      <x:c r="B76" t="str">
        <x:v>Monday</x:v>
      </x:c>
      <x:c r="C76" s="26" t="str">
        <x:v>Lent</x:v>
      </x:c>
      <x:c r="D76" t="str">
        <x:v>Lenten Weekday</x:v>
      </x:c>
      <x:c r="E76" t="str">
        <x:v>Weekday</x:v>
      </x:c>
      <x:c r="F76" s="14" t="str">
        <x:v>Saint Turibius of Mogrovejo [Optional Memorial]</x:v>
      </x:c>
      <x:c r="G76" s="14" t="str">
        <x:v>✦</x:v>
      </x:c>
      <x:c r="H76" s="14" t="str"/>
      <x:c r="I76" s="14" t="str"/>
      <x:c r="J76" s="14" t="str"/>
      <x:c r="K76" s="14" t="str"/>
      <x:c r="L76" s="14" t="str"/>
      <x:c r="M76" s="14" t="str"/>
      <x:c r="N76" s="14" t="str">
        <x:v>https://www.usccb.org/resources/2026cal.pdf</x:v>
      </x:c>
      <x:c r="O76" s="115" t="e">
        <x:f>HYPERLINK("https://bible.usccb.org/bible/readings/032326.cfm","USCCB readings ↗")</x:f>
        <x:v>HYPERLINK is not implemented. linkLocation=https://bible.usccb.org/bible/readings/032326.cfm, friendlyName=USCCB readings ↗</x:v>
      </x:c>
    </x:row>
    <x:row r="77">
      <x:c r="A77" s="38" t="n">
        <x:v>46106</x:v>
      </x:c>
      <x:c r="B77" t="str">
        <x:v>Wednesday</x:v>
      </x:c>
      <x:c r="C77" s="26" t="str">
        <x:v>Lent</x:v>
      </x:c>
      <x:c r="D77" t="str">
        <x:v>Annunciation of the Lord</x:v>
      </x:c>
      <x:c r="E77" t="str">
        <x:v>Solemnity</x:v>
      </x:c>
      <x:c r="F77" s="76" t="str">
        <x:v>Annunciation of the Lord [Solemnity]</x:v>
      </x:c>
      <x:c r="G77" s="14" t="str">
        <x:v>★ ✝ 🌹</x:v>
      </x:c>
      <x:c r="H77" s="14" t="str"/>
      <x:c r="I77" s="14" t="str"/>
      <x:c r="J77" s="14" t="str"/>
      <x:c r="K77" s="14" t="str"/>
      <x:c r="L77" s="14" t="str"/>
      <x:c r="M77" s="14" t="str"/>
      <x:c r="N77" s="14" t="str">
        <x:v>https://www.usccb.org/resources/2026cal.pdf</x:v>
      </x:c>
      <x:c r="O77" s="115" t="e">
        <x:f>HYPERLINK("https://bible.usccb.org/bible/readings/032526.cfm","USCCB readings ↗")</x:f>
        <x:v>HYPERLINK is not implemented. linkLocation=https://bible.usccb.org/bible/readings/032526.cfm, friendlyName=USCCB readings ↗</x:v>
      </x:c>
    </x:row>
    <x:row r="78">
      <x:c r="A78" s="38" t="n">
        <x:v>46108</x:v>
      </x:c>
      <x:c r="B78" t="str">
        <x:v>Friday</x:v>
      </x:c>
      <x:c r="C78" s="26" t="str">
        <x:v>Lent</x:v>
      </x:c>
      <x:c r="D78" t="str">
        <x:v>Lenten Weekday</x:v>
      </x:c>
      <x:c r="E78" t="str">
        <x:v>Weekday</x:v>
      </x:c>
      <x:c r="F78" s="14" t="str"/>
      <x:c r="G78" s="14" t="str">
        <x:v>Ⓟ</x:v>
      </x:c>
      <x:c r="H78" s="14" t="str"/>
      <x:c r="I78" s="14" t="str"/>
      <x:c r="J78" s="82" t="str">
        <x:v>Lenten Friday — abstinence from meat</x:v>
      </x:c>
      <x:c r="K78" s="14" t="str"/>
      <x:c r="L78" s="14" t="str"/>
      <x:c r="M78" s="14" t="str"/>
      <x:c r="N78" s="14" t="str">
        <x:v>https://www.usccb.org/resources/2026cal.pdf
https://www.usccb.org/prayer-and-worship/liturgical-year-and-calendar/lent/catholic-information-on-lenten-fast-and-abstinence</x:v>
      </x:c>
      <x:c r="O78" s="115" t="e">
        <x:f>HYPERLINK("https://bible.usccb.org/bible/readings/032726.cfm","USCCB readings ↗")</x:f>
        <x:v>HYPERLINK is not implemented. linkLocation=https://bible.usccb.org/bible/readings/032726.cfm, friendlyName=USCCB readings ↗</x:v>
      </x:c>
    </x:row>
    <x:row r="79">
      <x:c r="A79" s="38" t="n">
        <x:v>46110</x:v>
      </x:c>
      <x:c r="B79" t="str">
        <x:v>Sunday</x:v>
      </x:c>
      <x:c r="C79" s="26" t="str">
        <x:v>Lent</x:v>
      </x:c>
      <x:c r="D79" t="str">
        <x:v>Palm Sunday of the Passion of the Lord</x:v>
      </x:c>
      <x:c r="E79" t="str">
        <x:v>Sunday</x:v>
      </x:c>
      <x:c r="F79" s="14" t="str"/>
      <x:c r="G79" s="14" t="str">
        <x:v>✝ ⛪</x:v>
      </x:c>
      <x:c r="H79" s="78" t="str">
        <x:v>⛪ Sunday Mass obligation</x:v>
      </x:c>
      <x:c r="I79" s="14" t="str"/>
      <x:c r="J79" s="14" t="str"/>
      <x:c r="K79" s="14" t="str"/>
      <x:c r="L79" s="14" t="str"/>
      <x:c r="M79" s="14" t="str"/>
      <x:c r="N79" s="14" t="str">
        <x:v>https://www.usccb.org/resources/2026cal.pdf
https://www.usccb.org/beliefs-and-teachings/what-we-believe/canon-law/complementary-norms/canon-1246</x:v>
      </x:c>
      <x:c r="O79" s="115" t="e">
        <x:f>HYPERLINK("https://bible.usccb.org/bible/readings/032926.cfm","USCCB readings ↗")</x:f>
        <x:v>HYPERLINK is not implemented. linkLocation=https://bible.usccb.org/bible/readings/032926.cfm, friendlyName=USCCB readings ↗</x:v>
      </x:c>
    </x:row>
    <x:row r="80">
      <x:c r="A80" s="38" t="n">
        <x:v>46114</x:v>
      </x:c>
      <x:c r="B80" t="str">
        <x:v>Thursday</x:v>
      </x:c>
      <x:c r="C80" s="28" t="str">
        <x:v>Sacred Triduum</x:v>
      </x:c>
      <x:c r="D80" t="str">
        <x:v>Holy Thursday</x:v>
      </x:c>
      <x:c r="E80" t="str">
        <x:v>Sacred Triduum</x:v>
      </x:c>
      <x:c r="F80" s="14" t="str">
        <x:v>Saint Francis of Paola [Optional Memorial]</x:v>
      </x:c>
      <x:c r="G80" s="14" t="str">
        <x:v>✝ ✦</x:v>
      </x:c>
      <x:c r="H80" s="14" t="str"/>
      <x:c r="I80" s="14" t="str"/>
      <x:c r="J80" s="14" t="str"/>
      <x:c r="K80" s="14" t="str"/>
      <x:c r="L80" s="14" t="str"/>
      <x:c r="M80" s="14" t="str"/>
      <x:c r="N80" s="14" t="str">
        <x:v>https://www.usccb.org/resources/2026cal.pdf</x:v>
      </x:c>
      <x:c r="O80" s="115" t="e">
        <x:f>HYPERLINK("https://bible.usccb.org/bible/readings/040226.cfm","USCCB readings ↗")</x:f>
        <x:v>HYPERLINK is not implemented. linkLocation=https://bible.usccb.org/bible/readings/040226.cfm, friendlyName=USCCB readings ↗</x:v>
      </x:c>
    </x:row>
    <x:row r="81">
      <x:c r="A81" s="38" t="n">
        <x:v>46115</x:v>
      </x:c>
      <x:c r="B81" t="str">
        <x:v>Friday</x:v>
      </x:c>
      <x:c r="C81" s="28" t="str">
        <x:v>Sacred Triduum</x:v>
      </x:c>
      <x:c r="D81" t="str">
        <x:v>Good Friday of the Passion of the Lord</x:v>
      </x:c>
      <x:c r="E81" t="str">
        <x:v>Sacred Triduum</x:v>
      </x:c>
      <x:c r="F81" s="14" t="str"/>
      <x:c r="G81" s="14" t="str">
        <x:v>✝ Ⓟ 🙏</x:v>
      </x:c>
      <x:c r="H81" s="14" t="str"/>
      <x:c r="I81" s="80" t="str">
        <x:v>🙏 Divine Mercy Novena — Day 1/9 [START]
❤ First Friday — Sacred Heart devotion</x:v>
      </x:c>
      <x:c r="J81" s="82" t="str">
        <x:v>Good Friday — fast + abstinence</x:v>
      </x:c>
      <x:c r="K81" s="14" t="str"/>
      <x:c r="L81" s="14" t="str"/>
      <x:c r="M81" s="14" t="str"/>
      <x:c r="N81" s="14" t="str">
        <x:v>https://www.usccb.org/resources/2026cal.pdf
https://thedivinemercy.org/articles/pray-novena-divine-mercy-april-3-11
https://www.ewtn.com/catholicism/library/first-friday-devotion-to-sacred-heart-4692
https://www.usccb.org/prayer-and-worship/liturgical-year-and-calendar/lent/catholic-information-on-lenten-fast-and-abstinence</x:v>
      </x:c>
      <x:c r="O81" s="115" t="e">
        <x:f>HYPERLINK("https://bible.usccb.org/bible/readings/040326.cfm","USCCB readings ↗")</x:f>
        <x:v>HYPERLINK is not implemented. linkLocation=https://bible.usccb.org/bible/readings/040326.cfm, friendlyName=USCCB readings ↗</x:v>
      </x:c>
    </x:row>
    <x:row r="82">
      <x:c r="A82" s="38" t="n">
        <x:v>46116</x:v>
      </x:c>
      <x:c r="B82" t="str">
        <x:v>Saturday</x:v>
      </x:c>
      <x:c r="C82" s="28" t="str">
        <x:v>Sacred Triduum</x:v>
      </x:c>
      <x:c r="D82" t="str">
        <x:v>Holy Saturday / Easter Vigil</x:v>
      </x:c>
      <x:c r="E82" t="str">
        <x:v>Sacred Triduum</x:v>
      </x:c>
      <x:c r="F82" s="76" t="str">
        <x:v>Saint Isidore [Optional Memorial]</x:v>
      </x:c>
      <x:c r="G82" s="14" t="str">
        <x:v>✝ ✦ 🙏 🌹</x:v>
      </x:c>
      <x:c r="H82" s="14" t="str"/>
      <x:c r="I82" s="80" t="str">
        <x:v>🙏 Divine Mercy Novena — Day 2/9
🌹 First Saturday — Immaculate Heart devotion</x:v>
      </x:c>
      <x:c r="J82" s="14" t="str"/>
      <x:c r="K82" s="14" t="str"/>
      <x:c r="L82" s="14" t="str"/>
      <x:c r="M82" s="14" t="str"/>
      <x:c r="N82" s="14" t="str">
        <x:v>https://www.usccb.org/resources/2026cal.pdf
https://thedivinemercy.org/articles/pray-novena-divine-mercy-april-3-11
https://www.ewtn.com/catholicism/library/revelation-of-the-immaculate-heart-at-fatima-in-1917-5465</x:v>
      </x:c>
      <x:c r="O82" s="115" t="e">
        <x:f>HYPERLINK("https://bible.usccb.org/bible/readings/040426.cfm","USCCB readings ↗")</x:f>
        <x:v>HYPERLINK is not implemented. linkLocation=https://bible.usccb.org/bible/readings/040426.cfm, friendlyName=USCCB readings ↗</x:v>
      </x:c>
    </x:row>
    <x:row r="83">
      <x:c r="A83" s="38" t="n">
        <x:v>46117</x:v>
      </x:c>
      <x:c r="B83" t="str">
        <x:v>Sunday</x:v>
      </x:c>
      <x:c r="C83" s="30" t="str">
        <x:v>Easter</x:v>
      </x:c>
      <x:c r="D83" t="str">
        <x:v>Easter Sunday of the Resurrection of the Lord</x:v>
      </x:c>
      <x:c r="E83" t="str">
        <x:v>Solemnity</x:v>
      </x:c>
      <x:c r="F83" s="14" t="str">
        <x:v>Saint Vincent Ferrer [Optional Memorial]</x:v>
      </x:c>
      <x:c r="G83" s="14" t="str">
        <x:v>★ ✝ ✦ ⛪ 🙏</x:v>
      </x:c>
      <x:c r="H83" s="78" t="str">
        <x:v>⛪ Sunday Mass obligation</x:v>
      </x:c>
      <x:c r="I83" s="80" t="str">
        <x:v>🙏 Divine Mercy Novena — Day 3/9</x:v>
      </x:c>
      <x:c r="J83" s="14" t="str"/>
      <x:c r="K83" s="14" t="str"/>
      <x:c r="L83" s="14" t="str"/>
      <x:c r="M83" s="14" t="str">
        <x:v>A fixed observance also falls today, but the Sunday or higher-ranking celebration takes liturgical precedence.</x:v>
      </x:c>
      <x:c r="N83" s="14" t="str">
        <x:v>https://www.usccb.org/resources/2026cal.pdf
https://www.usccb.org/beliefs-and-teachings/what-we-believe/canon-law/complementary-norms/canon-1246
https://thedivinemercy.org/articles/pray-novena-divine-mercy-april-3-11</x:v>
      </x:c>
      <x:c r="O83" s="115" t="e">
        <x:f>HYPERLINK("https://bible.usccb.org/bible/readings/040526.cfm","USCCB readings ↗")</x:f>
        <x:v>HYPERLINK is not implemented. linkLocation=https://bible.usccb.org/bible/readings/040526.cfm, friendlyName=USCCB readings ↗</x:v>
      </x:c>
    </x:row>
    <x:row r="84">
      <x:c r="A84" s="38" t="n">
        <x:v>46118</x:v>
      </x:c>
      <x:c r="B84" t="str">
        <x:v>Monday</x:v>
      </x:c>
      <x:c r="C84" s="30" t="str">
        <x:v>Easter</x:v>
      </x:c>
      <x:c r="D84" t="str">
        <x:v>Day within the Octave of Easter</x:v>
      </x:c>
      <x:c r="E84" t="str">
        <x:v>Octave Day</x:v>
      </x:c>
      <x:c r="F84" s="14" t="str"/>
      <x:c r="G84" s="14" t="str">
        <x:v>🙏</x:v>
      </x:c>
      <x:c r="H84" s="14" t="str"/>
      <x:c r="I84" s="80" t="str">
        <x:v>🙏 Divine Mercy Novena — Day 4/9</x:v>
      </x:c>
      <x:c r="J84" s="14" t="str"/>
      <x:c r="K84" s="14" t="str"/>
      <x:c r="L84" s="14" t="str"/>
      <x:c r="M84" s="14" t="str"/>
      <x:c r="N84" s="14" t="str">
        <x:v>https://www.usccb.org/resources/2026cal.pdf
https://thedivinemercy.org/articles/pray-novena-divine-mercy-april-3-11</x:v>
      </x:c>
      <x:c r="O84" s="115" t="e">
        <x:f>HYPERLINK("https://bible.usccb.org/bible/readings/040626.cfm","USCCB readings ↗")</x:f>
        <x:v>HYPERLINK is not implemented. linkLocation=https://bible.usccb.org/bible/readings/040626.cfm, friendlyName=USCCB readings ↗</x:v>
      </x:c>
    </x:row>
    <x:row r="85">
      <x:c r="A85" s="38" t="n">
        <x:v>46119</x:v>
      </x:c>
      <x:c r="B85" t="str">
        <x:v>Tuesday</x:v>
      </x:c>
      <x:c r="C85" s="30" t="str">
        <x:v>Easter</x:v>
      </x:c>
      <x:c r="D85" t="str">
        <x:v>Day within the Octave of Easter</x:v>
      </x:c>
      <x:c r="E85" t="str">
        <x:v>Octave Day</x:v>
      </x:c>
      <x:c r="F85" s="14" t="str">
        <x:v>Saint John Baptist de la Salle [Memorial]</x:v>
      </x:c>
      <x:c r="G85" s="14" t="str">
        <x:v>✦ 🙏</x:v>
      </x:c>
      <x:c r="H85" s="14" t="str"/>
      <x:c r="I85" s="80" t="str">
        <x:v>🙏 Divine Mercy Novena — Day 5/9</x:v>
      </x:c>
      <x:c r="J85" s="14" t="str"/>
      <x:c r="K85" s="14" t="str"/>
      <x:c r="L85" s="14" t="str"/>
      <x:c r="M85" s="14" t="str"/>
      <x:c r="N85" s="14" t="str">
        <x:v>https://www.usccb.org/resources/2026cal.pdf
https://thedivinemercy.org/articles/pray-novena-divine-mercy-april-3-11</x:v>
      </x:c>
      <x:c r="O85" s="115" t="e">
        <x:f>HYPERLINK("https://bible.usccb.org/bible/readings/040726.cfm","USCCB readings ↗")</x:f>
        <x:v>HYPERLINK is not implemented. linkLocation=https://bible.usccb.org/bible/readings/040726.cfm, friendlyName=USCCB readings ↗</x:v>
      </x:c>
    </x:row>
    <x:row r="86">
      <x:c r="A86" s="38" t="n">
        <x:v>46120</x:v>
      </x:c>
      <x:c r="B86" t="str">
        <x:v>Wednesday</x:v>
      </x:c>
      <x:c r="C86" s="30" t="str">
        <x:v>Easter</x:v>
      </x:c>
      <x:c r="D86" t="str">
        <x:v>Day within the Octave of Easter</x:v>
      </x:c>
      <x:c r="E86" t="str">
        <x:v>Octave Day</x:v>
      </x:c>
      <x:c r="F86" s="14" t="str"/>
      <x:c r="G86" s="14" t="str">
        <x:v>🙏</x:v>
      </x:c>
      <x:c r="H86" s="14" t="str"/>
      <x:c r="I86" s="80" t="str">
        <x:v>🙏 Divine Mercy Novena — Day 6/9</x:v>
      </x:c>
      <x:c r="J86" s="14" t="str"/>
      <x:c r="K86" s="14" t="str"/>
      <x:c r="L86" s="14" t="str"/>
      <x:c r="M86" s="14" t="str"/>
      <x:c r="N86" s="14" t="str">
        <x:v>https://www.usccb.org/resources/2026cal.pdf
https://thedivinemercy.org/articles/pray-novena-divine-mercy-april-3-11</x:v>
      </x:c>
      <x:c r="O86" s="115" t="e">
        <x:f>HYPERLINK("https://bible.usccb.org/bible/readings/040826.cfm","USCCB readings ↗")</x:f>
        <x:v>HYPERLINK is not implemented. linkLocation=https://bible.usccb.org/bible/readings/040826.cfm, friendlyName=USCCB readings ↗</x:v>
      </x:c>
    </x:row>
    <x:row r="87">
      <x:c r="A87" s="38" t="n">
        <x:v>46121</x:v>
      </x:c>
      <x:c r="B87" t="str">
        <x:v>Thursday</x:v>
      </x:c>
      <x:c r="C87" s="30" t="str">
        <x:v>Easter</x:v>
      </x:c>
      <x:c r="D87" t="str">
        <x:v>Day within the Octave of Easter</x:v>
      </x:c>
      <x:c r="E87" t="str">
        <x:v>Octave Day</x:v>
      </x:c>
      <x:c r="F87" s="14" t="str"/>
      <x:c r="G87" s="14" t="str">
        <x:v>🙏</x:v>
      </x:c>
      <x:c r="H87" s="14" t="str"/>
      <x:c r="I87" s="80" t="str">
        <x:v>🙏 Divine Mercy Novena — Day 7/9</x:v>
      </x:c>
      <x:c r="J87" s="14" t="str"/>
      <x:c r="K87" s="14" t="str"/>
      <x:c r="L87" s="14" t="str"/>
      <x:c r="M87" s="14" t="str"/>
      <x:c r="N87" s="14" t="str">
        <x:v>https://www.usccb.org/resources/2026cal.pdf
https://thedivinemercy.org/articles/pray-novena-divine-mercy-april-3-11</x:v>
      </x:c>
      <x:c r="O87" s="115" t="e">
        <x:f>HYPERLINK("https://bible.usccb.org/bible/readings/040926.cfm","USCCB readings ↗")</x:f>
        <x:v>HYPERLINK is not implemented. linkLocation=https://bible.usccb.org/bible/readings/040926.cfm, friendlyName=USCCB readings ↗</x:v>
      </x:c>
    </x:row>
    <x:row r="88">
      <x:c r="A88" s="38" t="n">
        <x:v>46122</x:v>
      </x:c>
      <x:c r="B88" t="str">
        <x:v>Friday</x:v>
      </x:c>
      <x:c r="C88" s="30" t="str">
        <x:v>Easter</x:v>
      </x:c>
      <x:c r="D88" t="str">
        <x:v>Day within the Octave of Easter</x:v>
      </x:c>
      <x:c r="E88" t="str">
        <x:v>Octave Day</x:v>
      </x:c>
      <x:c r="F88" s="14" t="str"/>
      <x:c r="G88" s="14" t="str">
        <x:v>🙏 Ⓟ</x:v>
      </x:c>
      <x:c r="H88" s="14" t="str"/>
      <x:c r="I88" s="80" t="str">
        <x:v>🙏 Divine Mercy Novena — Day 8/9</x:v>
      </x:c>
      <x:c r="J88" s="82" t="str">
        <x:v>Friday penance — outside Lent, U.S. Catholics may choose an appropriate penitential practice</x:v>
      </x:c>
      <x:c r="K88" s="14" t="str"/>
      <x:c r="L88" s="14" t="str"/>
      <x:c r="M88" s="14" t="str"/>
      <x:c r="N88" s="14" t="str">
        <x:v>https://www.usccb.org/resources/2026cal.pdf
https://thedivinemercy.org/articles/pray-novena-divine-mercy-april-3-11
https://www.usccb.org/prayer-and-worship/liturgical-year-and-calendar/lent/catholic-information-on-lenten-fast-and-abstinence</x:v>
      </x:c>
      <x:c r="O88" s="115" t="e">
        <x:f>HYPERLINK("https://bible.usccb.org/bible/readings/041026.cfm","USCCB readings ↗")</x:f>
        <x:v>HYPERLINK is not implemented. linkLocation=https://bible.usccb.org/bible/readings/041026.cfm, friendlyName=USCCB readings ↗</x:v>
      </x:c>
    </x:row>
    <x:row r="89">
      <x:c r="A89" s="38" t="n">
        <x:v>46123</x:v>
      </x:c>
      <x:c r="B89" t="str">
        <x:v>Saturday</x:v>
      </x:c>
      <x:c r="C89" s="30" t="str">
        <x:v>Easter</x:v>
      </x:c>
      <x:c r="D89" t="str">
        <x:v>Day within the Octave of Easter</x:v>
      </x:c>
      <x:c r="E89" t="str">
        <x:v>Octave Day</x:v>
      </x:c>
      <x:c r="F89" s="14" t="str">
        <x:v>Saint Stanislaus [Memorial]</x:v>
      </x:c>
      <x:c r="G89" s="14" t="str">
        <x:v>✦ 🙏</x:v>
      </x:c>
      <x:c r="H89" s="14" t="str"/>
      <x:c r="I89" s="80" t="str">
        <x:v>🙏 Divine Mercy Novena — Day 9/9 [END]</x:v>
      </x:c>
      <x:c r="J89" s="14" t="str"/>
      <x:c r="K89" s="14" t="str"/>
      <x:c r="L89" s="14" t="str"/>
      <x:c r="M89" s="14" t="str"/>
      <x:c r="N89" s="14" t="str">
        <x:v>https://www.usccb.org/resources/2026cal.pdf
https://thedivinemercy.org/articles/pray-novena-divine-mercy-april-3-11</x:v>
      </x:c>
      <x:c r="O89" s="115" t="e">
        <x:f>HYPERLINK("https://bible.usccb.org/bible/readings/041126.cfm","USCCB readings ↗")</x:f>
        <x:v>HYPERLINK is not implemented. linkLocation=https://bible.usccb.org/bible/readings/041126.cfm, friendlyName=USCCB readings ↗</x:v>
      </x:c>
    </x:row>
    <x:row r="90">
      <x:c r="A90" s="38" t="n">
        <x:v>46124</x:v>
      </x:c>
      <x:c r="B90" t="str">
        <x:v>Sunday</x:v>
      </x:c>
      <x:c r="C90" s="30" t="str">
        <x:v>Easter</x:v>
      </x:c>
      <x:c r="D90" t="str">
        <x:v>Second Sunday of Easter — Divine Mercy Sunday</x:v>
      </x:c>
      <x:c r="E90" t="str">
        <x:v>Sunday</x:v>
      </x:c>
      <x:c r="F90" s="14" t="str"/>
      <x:c r="G90" s="14" t="str">
        <x:v>✝ ⛪</x:v>
      </x:c>
      <x:c r="H90" s="78" t="str">
        <x:v>⛪ Sunday Mass obligation</x:v>
      </x:c>
      <x:c r="I90" s="14" t="str"/>
      <x:c r="J90" s="14" t="str"/>
      <x:c r="K90" s="14" t="str"/>
      <x:c r="L90" s="14" t="str"/>
      <x:c r="M90" s="14" t="str"/>
      <x:c r="N90" s="14" t="str">
        <x:v>https://www.usccb.org/resources/2026cal.pdf
https://www.usccb.org/beliefs-and-teachings/what-we-believe/canon-law/complementary-norms/canon-1246</x:v>
      </x:c>
      <x:c r="O90" s="115" t="e">
        <x:f>HYPERLINK("https://bible.usccb.org/bible/readings/041226.cfm","USCCB readings ↗")</x:f>
        <x:v>HYPERLINK is not implemented. linkLocation=https://bible.usccb.org/bible/readings/041226.cfm, friendlyName=USCCB readings ↗</x:v>
      </x:c>
    </x:row>
    <x:row r="91">
      <x:c r="A91" s="38" t="n">
        <x:v>46125</x:v>
      </x:c>
      <x:c r="B91" t="str">
        <x:v>Monday</x:v>
      </x:c>
      <x:c r="C91" s="30" t="str">
        <x:v>Easter</x:v>
      </x:c>
      <x:c r="D91" t="str">
        <x:v>Easter Weekday</x:v>
      </x:c>
      <x:c r="E91" t="str">
        <x:v>Weekday</x:v>
      </x:c>
      <x:c r="F91" s="14" t="str">
        <x:v>Saint Martin I [Optional Memorial]</x:v>
      </x:c>
      <x:c r="G91" s="14" t="str">
        <x:v>✦</x:v>
      </x:c>
      <x:c r="H91" s="14" t="str"/>
      <x:c r="I91" s="14" t="str"/>
      <x:c r="J91" s="14" t="str"/>
      <x:c r="K91" s="14" t="str"/>
      <x:c r="L91" s="14" t="str"/>
      <x:c r="M91" s="14" t="str"/>
      <x:c r="N91" s="14" t="str">
        <x:v>https://www.usccb.org/resources/2026cal.pdf</x:v>
      </x:c>
      <x:c r="O91" s="115" t="e">
        <x:f>HYPERLINK("https://bible.usccb.org/bible/readings/041326.cfm","USCCB readings ↗")</x:f>
        <x:v>HYPERLINK is not implemented. linkLocation=https://bible.usccb.org/bible/readings/041326.cfm, friendlyName=USCCB readings ↗</x:v>
      </x:c>
    </x:row>
    <x:row r="92">
      <x:c r="A92" s="38" t="n">
        <x:v>46129</x:v>
      </x:c>
      <x:c r="B92" t="str">
        <x:v>Friday</x:v>
      </x:c>
      <x:c r="C92" s="30" t="str">
        <x:v>Easter</x:v>
      </x:c>
      <x:c r="D92" t="str">
        <x:v>Easter Weekday</x:v>
      </x:c>
      <x:c r="E92" t="str">
        <x:v>Weekday</x:v>
      </x:c>
      <x:c r="F92" s="14" t="str"/>
      <x:c r="G92" s="14" t="str">
        <x:v>Ⓟ</x:v>
      </x:c>
      <x:c r="H92" s="14" t="str"/>
      <x:c r="I92" s="14" t="str"/>
      <x:c r="J92" s="82" t="str">
        <x:v>Friday penance — outside Lent, U.S. Catholics may choose an appropriate penitential practice</x:v>
      </x:c>
      <x:c r="K92" s="14" t="str"/>
      <x:c r="L92" s="14" t="str"/>
      <x:c r="M92" s="14" t="str"/>
      <x:c r="N92" s="14" t="str">
        <x:v>https://www.usccb.org/resources/2026cal.pdf
https://www.usccb.org/prayer-and-worship/liturgical-year-and-calendar/lent/catholic-information-on-lenten-fast-and-abstinence</x:v>
      </x:c>
      <x:c r="O92" s="115" t="e">
        <x:f>HYPERLINK("https://bible.usccb.org/bible/readings/041726.cfm","USCCB readings ↗")</x:f>
        <x:v>HYPERLINK is not implemented. linkLocation=https://bible.usccb.org/bible/readings/041726.cfm, friendlyName=USCCB readings ↗</x:v>
      </x:c>
    </x:row>
    <x:row r="93">
      <x:c r="A93" s="38" t="n">
        <x:v>46131</x:v>
      </x:c>
      <x:c r="B93" t="str">
        <x:v>Sunday</x:v>
      </x:c>
      <x:c r="C93" s="30" t="str">
        <x:v>Easter</x:v>
      </x:c>
      <x:c r="D93" t="str">
        <x:v>Third Sunday of Easter</x:v>
      </x:c>
      <x:c r="E93" t="str">
        <x:v>Sunday</x:v>
      </x:c>
      <x:c r="F93" s="14" t="str"/>
      <x:c r="G93" s="14" t="str">
        <x:v>⛪</x:v>
      </x:c>
      <x:c r="H93" s="78" t="str">
        <x:v>⛪ Sunday Mass obligation</x:v>
      </x:c>
      <x:c r="I93" s="14" t="str"/>
      <x:c r="J93" s="14" t="str"/>
      <x:c r="K93" s="14" t="str"/>
      <x:c r="L93" s="14" t="str"/>
      <x:c r="M93" s="14" t="str"/>
      <x:c r="N93" s="14" t="str">
        <x:v>https://www.usccb.org/resources/2026cal.pdf
https://www.usccb.org/beliefs-and-teachings/what-we-believe/canon-law/complementary-norms/canon-1246</x:v>
      </x:c>
      <x:c r="O93" s="115" t="e">
        <x:f>HYPERLINK("https://bible.usccb.org/bible/readings/041926.cfm","USCCB readings ↗")</x:f>
        <x:v>HYPERLINK is not implemented. linkLocation=https://bible.usccb.org/bible/readings/041926.cfm, friendlyName=USCCB readings ↗</x:v>
      </x:c>
    </x:row>
    <x:row r="94">
      <x:c r="A94" s="38" t="n">
        <x:v>46133</x:v>
      </x:c>
      <x:c r="B94" t="str">
        <x:v>Tuesday</x:v>
      </x:c>
      <x:c r="C94" s="30" t="str">
        <x:v>Easter</x:v>
      </x:c>
      <x:c r="D94" t="str">
        <x:v>Easter Weekday</x:v>
      </x:c>
      <x:c r="E94" t="str">
        <x:v>Weekday</x:v>
      </x:c>
      <x:c r="F94" s="14" t="str">
        <x:v>Saint Anselm [Optional Memorial]</x:v>
      </x:c>
      <x:c r="G94" s="14" t="str">
        <x:v>✦</x:v>
      </x:c>
      <x:c r="H94" s="14" t="str"/>
      <x:c r="I94" s="14" t="str"/>
      <x:c r="J94" s="14" t="str"/>
      <x:c r="K94" s="14" t="str"/>
      <x:c r="L94" s="14" t="str"/>
      <x:c r="M94" s="14" t="str"/>
      <x:c r="N94" s="14" t="str">
        <x:v>https://www.usccb.org/resources/2026cal.pdf</x:v>
      </x:c>
      <x:c r="O94" s="115" t="e">
        <x:f>HYPERLINK("https://bible.usccb.org/bible/readings/042126.cfm","USCCB readings ↗")</x:f>
        <x:v>HYPERLINK is not implemented. linkLocation=https://bible.usccb.org/bible/readings/042126.cfm, friendlyName=USCCB readings ↗</x:v>
      </x:c>
    </x:row>
    <x:row r="95">
      <x:c r="A95" s="38" t="n">
        <x:v>46135</x:v>
      </x:c>
      <x:c r="B95" t="str">
        <x:v>Thursday</x:v>
      </x:c>
      <x:c r="C95" s="30" t="str">
        <x:v>Easter</x:v>
      </x:c>
      <x:c r="D95" t="str">
        <x:v>Easter Weekday</x:v>
      </x:c>
      <x:c r="E95" t="str">
        <x:v>Weekday</x:v>
      </x:c>
      <x:c r="F95" s="14" t="str">
        <x:v>Saint George; Saint Adalbert [Optional Memorial]</x:v>
      </x:c>
      <x:c r="G95" s="14" t="str">
        <x:v>✦</x:v>
      </x:c>
      <x:c r="H95" s="14" t="str"/>
      <x:c r="I95" s="14" t="str"/>
      <x:c r="J95" s="14" t="str"/>
      <x:c r="K95" s="14" t="str"/>
      <x:c r="L95" s="14" t="str"/>
      <x:c r="M95" s="14" t="str"/>
      <x:c r="N95" s="14" t="str">
        <x:v>https://www.usccb.org/resources/2026cal.pdf</x:v>
      </x:c>
      <x:c r="O95" s="115" t="e">
        <x:f>HYPERLINK("https://bible.usccb.org/bible/readings/042326.cfm","USCCB readings ↗")</x:f>
        <x:v>HYPERLINK is not implemented. linkLocation=https://bible.usccb.org/bible/readings/042326.cfm, friendlyName=USCCB readings ↗</x:v>
      </x:c>
    </x:row>
    <x:row r="96">
      <x:c r="A96" s="38" t="n">
        <x:v>46136</x:v>
      </x:c>
      <x:c r="B96" t="str">
        <x:v>Friday</x:v>
      </x:c>
      <x:c r="C96" s="30" t="str">
        <x:v>Easter</x:v>
      </x:c>
      <x:c r="D96" t="str">
        <x:v>Easter Weekday</x:v>
      </x:c>
      <x:c r="E96" t="str">
        <x:v>Weekday</x:v>
      </x:c>
      <x:c r="F96" s="14" t="str">
        <x:v>Saint Fidelis of Sigmaringen [Optional Memorial]</x:v>
      </x:c>
      <x:c r="G96" s="14" t="str">
        <x:v>✦ Ⓟ</x:v>
      </x:c>
      <x:c r="H96" s="14" t="str"/>
      <x:c r="I96" s="14" t="str"/>
      <x:c r="J96" s="82" t="str">
        <x:v>Friday penance — outside Lent, U.S. Catholics may choose an appropriate penitential practice</x:v>
      </x:c>
      <x:c r="K96" s="14" t="str"/>
      <x:c r="L96" s="14" t="str"/>
      <x:c r="M96" s="14" t="str"/>
      <x:c r="N96" s="14" t="str">
        <x:v>https://www.usccb.org/resources/2026cal.pdf
https://www.usccb.org/prayer-and-worship/liturgical-year-and-calendar/lent/catholic-information-on-lenten-fast-and-abstinence</x:v>
      </x:c>
      <x:c r="O96" s="115" t="e">
        <x:f>HYPERLINK("https://bible.usccb.org/bible/readings/042426.cfm","USCCB readings ↗")</x:f>
        <x:v>HYPERLINK is not implemented. linkLocation=https://bible.usccb.org/bible/readings/042426.cfm, friendlyName=USCCB readings ↗</x:v>
      </x:c>
    </x:row>
    <x:row r="97">
      <x:c r="A97" s="38" t="n">
        <x:v>46137</x:v>
      </x:c>
      <x:c r="B97" t="str">
        <x:v>Saturday</x:v>
      </x:c>
      <x:c r="C97" s="30" t="str">
        <x:v>Easter</x:v>
      </x:c>
      <x:c r="D97" t="str">
        <x:v>Saint Mark, Evangelist</x:v>
      </x:c>
      <x:c r="E97" t="str">
        <x:v>Feast</x:v>
      </x:c>
      <x:c r="F97" s="14" t="str">
        <x:v>Saint Mark, Evangelist [Feast]</x:v>
      </x:c>
      <x:c r="G97" s="14" t="str">
        <x:v>★ ✦ 🕯</x:v>
      </x:c>
      <x:c r="H97" s="14" t="str"/>
      <x:c r="I97" s="14" t="str"/>
      <x:c r="J97" s="14" t="str"/>
      <x:c r="K97" s="84" t="str">
        <x:v>🕯 Major Rogation — historical Roman observance</x:v>
      </x:c>
      <x:c r="L97" s="14" t="str"/>
      <x:c r="M97" s="14" t="str"/>
      <x:c r="N97" s="14" t="str">
        <x:v>https://www.usccb.org/resources/2026cal.pdf
https://www.newadvent.org/cathen/13110b.htm</x:v>
      </x:c>
      <x:c r="O97" s="115" t="e">
        <x:f>HYPERLINK("https://bible.usccb.org/bible/readings/042526.cfm","USCCB readings ↗")</x:f>
        <x:v>HYPERLINK is not implemented. linkLocation=https://bible.usccb.org/bible/readings/042526.cfm, friendlyName=USCCB readings ↗</x:v>
      </x:c>
    </x:row>
    <x:row r="98">
      <x:c r="A98" s="38" t="n">
        <x:v>46138</x:v>
      </x:c>
      <x:c r="B98" t="str">
        <x:v>Sunday</x:v>
      </x:c>
      <x:c r="C98" s="30" t="str">
        <x:v>Easter</x:v>
      </x:c>
      <x:c r="D98" t="str">
        <x:v>Fourth Sunday of Easter</x:v>
      </x:c>
      <x:c r="E98" t="str">
        <x:v>Sunday</x:v>
      </x:c>
      <x:c r="F98" s="14" t="str"/>
      <x:c r="G98" s="14" t="str">
        <x:v>⛪</x:v>
      </x:c>
      <x:c r="H98" s="78" t="str">
        <x:v>⛪ Sunday Mass obligation</x:v>
      </x:c>
      <x:c r="I98" s="14" t="str"/>
      <x:c r="J98" s="14" t="str"/>
      <x:c r="K98" s="14" t="str"/>
      <x:c r="L98" s="14" t="str"/>
      <x:c r="M98" s="14" t="str"/>
      <x:c r="N98" s="14" t="str">
        <x:v>https://www.usccb.org/resources/2026cal.pdf
https://www.usccb.org/beliefs-and-teachings/what-we-believe/canon-law/complementary-norms/canon-1246</x:v>
      </x:c>
      <x:c r="O98" s="115" t="e">
        <x:f>HYPERLINK("https://bible.usccb.org/bible/readings/042626.cfm","USCCB readings ↗")</x:f>
        <x:v>HYPERLINK is not implemented. linkLocation=https://bible.usccb.org/bible/readings/042626.cfm, friendlyName=USCCB readings ↗</x:v>
      </x:c>
    </x:row>
    <x:row r="99">
      <x:c r="A99" s="38" t="n">
        <x:v>46140</x:v>
      </x:c>
      <x:c r="B99" t="str">
        <x:v>Tuesday</x:v>
      </x:c>
      <x:c r="C99" s="30" t="str">
        <x:v>Easter</x:v>
      </x:c>
      <x:c r="D99" t="str">
        <x:v>Easter Weekday</x:v>
      </x:c>
      <x:c r="E99" t="str">
        <x:v>Weekday</x:v>
      </x:c>
      <x:c r="F99" s="14" t="str">
        <x:v>Saint Peter Chanel; Saint Louis Grignion de Montfort [Optional Memorial]</x:v>
      </x:c>
      <x:c r="G99" s="14" t="str">
        <x:v>✦</x:v>
      </x:c>
      <x:c r="H99" s="14" t="str"/>
      <x:c r="I99" s="14" t="str"/>
      <x:c r="J99" s="14" t="str"/>
      <x:c r="K99" s="14" t="str"/>
      <x:c r="L99" s="14" t="str"/>
      <x:c r="M99" s="14" t="str"/>
      <x:c r="N99" s="14" t="str">
        <x:v>https://www.usccb.org/resources/2026cal.pdf</x:v>
      </x:c>
      <x:c r="O99" s="115" t="e">
        <x:f>HYPERLINK("https://bible.usccb.org/bible/readings/042826.cfm","USCCB readings ↗")</x:f>
        <x:v>HYPERLINK is not implemented. linkLocation=https://bible.usccb.org/bible/readings/042826.cfm, friendlyName=USCCB readings ↗</x:v>
      </x:c>
    </x:row>
    <x:row r="100">
      <x:c r="A100" s="38" t="n">
        <x:v>46141</x:v>
      </x:c>
      <x:c r="B100" t="str">
        <x:v>Wednesday</x:v>
      </x:c>
      <x:c r="C100" s="30" t="str">
        <x:v>Easter</x:v>
      </x:c>
      <x:c r="D100" t="str">
        <x:v>Saint Catherine of Siena</x:v>
      </x:c>
      <x:c r="E100" t="str">
        <x:v>Memorial</x:v>
      </x:c>
      <x:c r="F100" s="14" t="str">
        <x:v>Saint Catherine of Siena [Memorial]</x:v>
      </x:c>
      <x:c r="G100" s="14" t="str">
        <x:v>✦</x:v>
      </x:c>
      <x:c r="H100" s="14" t="str"/>
      <x:c r="I100" s="14" t="str"/>
      <x:c r="J100" s="14" t="str"/>
      <x:c r="K100" s="14" t="str"/>
      <x:c r="L100" s="14" t="str"/>
      <x:c r="M100" s="14" t="str"/>
      <x:c r="N100" s="14" t="str">
        <x:v>https://www.usccb.org/resources/2026cal.pdf</x:v>
      </x:c>
      <x:c r="O100" s="115" t="e">
        <x:f>HYPERLINK("https://bible.usccb.org/bible/readings/042926.cfm","USCCB readings ↗")</x:f>
        <x:v>HYPERLINK is not implemented. linkLocation=https://bible.usccb.org/bible/readings/042926.cfm, friendlyName=USCCB readings ↗</x:v>
      </x:c>
    </x:row>
    <x:row r="101">
      <x:c r="A101" s="38" t="n">
        <x:v>46142</x:v>
      </x:c>
      <x:c r="B101" t="str">
        <x:v>Thursday</x:v>
      </x:c>
      <x:c r="C101" s="30" t="str">
        <x:v>Easter</x:v>
      </x:c>
      <x:c r="D101" t="str">
        <x:v>Easter Weekday</x:v>
      </x:c>
      <x:c r="E101" t="str">
        <x:v>Weekday</x:v>
      </x:c>
      <x:c r="F101" s="14" t="str">
        <x:v>Saint Pius V [Optional Memorial]</x:v>
      </x:c>
      <x:c r="G101" s="14" t="str">
        <x:v>✦</x:v>
      </x:c>
      <x:c r="H101" s="14" t="str"/>
      <x:c r="I101" s="14" t="str"/>
      <x:c r="J101" s="14" t="str"/>
      <x:c r="K101" s="14" t="str"/>
      <x:c r="L101" s="14" t="str"/>
      <x:c r="M101" s="14" t="str"/>
      <x:c r="N101" s="14" t="str">
        <x:v>https://www.usccb.org/resources/2026cal.pdf</x:v>
      </x:c>
      <x:c r="O101" s="115" t="e">
        <x:f>HYPERLINK("https://bible.usccb.org/bible/readings/043026.cfm","USCCB readings ↗")</x:f>
        <x:v>HYPERLINK is not implemented. linkLocation=https://bible.usccb.org/bible/readings/043026.cfm, friendlyName=USCCB readings ↗</x:v>
      </x:c>
    </x:row>
    <x:row r="102">
      <x:c r="A102" s="38" t="n">
        <x:v>46143</x:v>
      </x:c>
      <x:c r="B102" t="str">
        <x:v>Friday</x:v>
      </x:c>
      <x:c r="C102" s="30" t="str">
        <x:v>Easter</x:v>
      </x:c>
      <x:c r="D102" t="str">
        <x:v>Easter Weekday</x:v>
      </x:c>
      <x:c r="E102" t="str">
        <x:v>Weekday</x:v>
      </x:c>
      <x:c r="F102" s="14" t="str">
        <x:v>Saint Joseph the Worker [Optional Memorial]</x:v>
      </x:c>
      <x:c r="G102" s="14" t="str">
        <x:v>✦ 🙏 Ⓟ</x:v>
      </x:c>
      <x:c r="H102" s="14" t="str"/>
      <x:c r="I102" s="80" t="str">
        <x:v>❤ First Friday — Sacred Heart devotion</x:v>
      </x:c>
      <x:c r="J102" s="82" t="str">
        <x:v>Friday penance — outside Lent, U.S. Catholics may choose an appropriate penitential practice</x:v>
      </x:c>
      <x:c r="K102" s="14" t="str"/>
      <x:c r="L102" s="14" t="str"/>
      <x:c r="M102" s="14" t="str"/>
      <x:c r="N102" s="14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102" s="115" t="e">
        <x:f>HYPERLINK("https://bible.usccb.org/bible/readings/050126.cfm","USCCB readings ↗")</x:f>
        <x:v>HYPERLINK is not implemented. linkLocation=https://bible.usccb.org/bible/readings/050126.cfm, friendlyName=USCCB readings ↗</x:v>
      </x:c>
    </x:row>
    <x:row r="103">
      <x:c r="A103" s="38" t="n">
        <x:v>46144</x:v>
      </x:c>
      <x:c r="B103" t="str">
        <x:v>Saturday</x:v>
      </x:c>
      <x:c r="C103" s="30" t="str">
        <x:v>Easter</x:v>
      </x:c>
      <x:c r="D103" t="str">
        <x:v>Saint Athanasius</x:v>
      </x:c>
      <x:c r="E103" t="str">
        <x:v>Memorial</x:v>
      </x:c>
      <x:c r="F103" s="76" t="str">
        <x:v>Saint Athanasius [Memorial]</x:v>
      </x:c>
      <x:c r="G103" s="14" t="str">
        <x:v>✦ 🙏 🌹</x:v>
      </x:c>
      <x:c r="H103" s="14" t="str"/>
      <x:c r="I103" s="80" t="str">
        <x:v>🌹 First Saturday — Immaculate Heart devotion</x:v>
      </x:c>
      <x:c r="J103" s="14" t="str"/>
      <x:c r="K103" s="14" t="str"/>
      <x:c r="L103" s="14" t="str"/>
      <x:c r="M103" s="14" t="str"/>
      <x:c r="N103" s="14" t="str">
        <x:v>https://www.usccb.org/resources/2026cal.pdf
https://www.ewtn.com/catholicism/library/revelation-of-the-immaculate-heart-at-fatima-in-1917-5465</x:v>
      </x:c>
      <x:c r="O103" s="115" t="e">
        <x:f>HYPERLINK("https://bible.usccb.org/bible/readings/050226.cfm","USCCB readings ↗")</x:f>
        <x:v>HYPERLINK is not implemented. linkLocation=https://bible.usccb.org/bible/readings/050226.cfm, friendlyName=USCCB readings ↗</x:v>
      </x:c>
    </x:row>
    <x:row r="104">
      <x:c r="A104" s="38" t="n">
        <x:v>46145</x:v>
      </x:c>
      <x:c r="B104" t="str">
        <x:v>Sunday</x:v>
      </x:c>
      <x:c r="C104" s="30" t="str">
        <x:v>Easter</x:v>
      </x:c>
      <x:c r="D104" t="str">
        <x:v>Fifth Sunday of Easter</x:v>
      </x:c>
      <x:c r="E104" t="str">
        <x:v>Sunday</x:v>
      </x:c>
      <x:c r="F104" s="14" t="str">
        <x:v>Saints Philip and James, Apostles [Feast]</x:v>
      </x:c>
      <x:c r="G104" s="14" t="str">
        <x:v>★ ✦ ⛪</x:v>
      </x:c>
      <x:c r="H104" s="78" t="str">
        <x:v>⛪ Sunday Mass obligation</x:v>
      </x:c>
      <x:c r="I104" s="14" t="str"/>
      <x:c r="J104" s="14" t="str"/>
      <x:c r="K104" s="14" t="str"/>
      <x:c r="L104" s="14" t="str"/>
      <x:c r="M104" s="14" t="str">
        <x:v>A fixed observance also falls today, but the Sunday or higher-ranking celebration takes liturgical precedence.</x:v>
      </x:c>
      <x:c r="N104" s="14" t="str">
        <x:v>https://www.usccb.org/resources/2026cal.pdf
https://www.usccb.org/beliefs-and-teachings/what-we-believe/canon-law/complementary-norms/canon-1246</x:v>
      </x:c>
      <x:c r="O104" s="115" t="e">
        <x:f>HYPERLINK("https://bible.usccb.org/bible/readings/050326.cfm","USCCB readings ↗")</x:f>
        <x:v>HYPERLINK is not implemented. linkLocation=https://bible.usccb.org/bible/readings/050326.cfm, friendlyName=USCCB readings ↗</x:v>
      </x:c>
    </x:row>
    <x:row r="105">
      <x:c r="A105" s="38" t="n">
        <x:v>46150</x:v>
      </x:c>
      <x:c r="B105" t="str">
        <x:v>Friday</x:v>
      </x:c>
      <x:c r="C105" s="30" t="str">
        <x:v>Easter</x:v>
      </x:c>
      <x:c r="D105" t="str">
        <x:v>Easter Weekday</x:v>
      </x:c>
      <x:c r="E105" t="str">
        <x:v>Weekday</x:v>
      </x:c>
      <x:c r="F105" s="14" t="str"/>
      <x:c r="G105" s="14" t="str">
        <x:v>Ⓟ</x:v>
      </x:c>
      <x:c r="H105" s="14" t="str"/>
      <x:c r="I105" s="14" t="str"/>
      <x:c r="J105" s="82" t="str">
        <x:v>Friday penance — outside Lent, U.S. Catholics may choose an appropriate penitential practice</x:v>
      </x:c>
      <x:c r="K105" s="14" t="str"/>
      <x:c r="L105" s="14" t="str"/>
      <x:c r="M105" s="14" t="str"/>
      <x:c r="N105" s="14" t="str">
        <x:v>https://www.usccb.org/resources/2026cal.pdf
https://www.usccb.org/prayer-and-worship/liturgical-year-and-calendar/lent/catholic-information-on-lenten-fast-and-abstinence</x:v>
      </x:c>
      <x:c r="O105" s="115" t="e">
        <x:f>HYPERLINK("https://bible.usccb.org/bible/readings/050826.cfm","USCCB readings ↗")</x:f>
        <x:v>HYPERLINK is not implemented. linkLocation=https://bible.usccb.org/bible/readings/050826.cfm, friendlyName=USCCB readings ↗</x:v>
      </x:c>
    </x:row>
    <x:row r="106">
      <x:c r="A106" s="38" t="n">
        <x:v>46152</x:v>
      </x:c>
      <x:c r="B106" t="str">
        <x:v>Sunday</x:v>
      </x:c>
      <x:c r="C106" s="30" t="str">
        <x:v>Easter</x:v>
      </x:c>
      <x:c r="D106" t="str">
        <x:v>Sixth Sunday of Easter</x:v>
      </x:c>
      <x:c r="E106" t="str">
        <x:v>Sunday</x:v>
      </x:c>
      <x:c r="F106" s="14" t="str">
        <x:v>Saint John of Avila; Saint Damien de Veuster [Optional Memorial]</x:v>
      </x:c>
      <x:c r="G106" s="14" t="str">
        <x:v>✦ ⛪</x:v>
      </x:c>
      <x:c r="H106" s="78" t="str">
        <x:v>⛪ Sunday Mass obligation</x:v>
      </x:c>
      <x:c r="I106" s="14" t="str"/>
      <x:c r="J106" s="14" t="str"/>
      <x:c r="K106" s="14" t="str"/>
      <x:c r="L106" s="14" t="str"/>
      <x:c r="M106" s="14" t="str">
        <x:v>A fixed observance also falls today, but the Sunday or higher-ranking celebration takes liturgical precedence.</x:v>
      </x:c>
      <x:c r="N106" s="14" t="str">
        <x:v>https://www.usccb.org/resources/2026cal.pdf
https://www.usccb.org/beliefs-and-teachings/what-we-believe/canon-law/complementary-norms/canon-1246</x:v>
      </x:c>
      <x:c r="O106" s="115" t="e">
        <x:f>HYPERLINK("https://bible.usccb.org/bible/readings/051026.cfm","USCCB readings ↗")</x:f>
        <x:v>HYPERLINK is not implemented. linkLocation=https://bible.usccb.org/bible/readings/051026.cfm, friendlyName=USCCB readings ↗</x:v>
      </x:c>
    </x:row>
    <x:row r="107">
      <x:c r="A107" s="38" t="n">
        <x:v>46153</x:v>
      </x:c>
      <x:c r="B107" t="str">
        <x:v>Monday</x:v>
      </x:c>
      <x:c r="C107" s="30" t="str">
        <x:v>Easter</x:v>
      </x:c>
      <x:c r="D107" t="str">
        <x:v>Easter Weekday</x:v>
      </x:c>
      <x:c r="E107" t="str">
        <x:v>Weekday</x:v>
      </x:c>
      <x:c r="F107" s="14" t="str"/>
      <x:c r="G107" s="14" t="str">
        <x:v>🕯</x:v>
      </x:c>
      <x:c r="H107" s="14" t="str"/>
      <x:c r="I107" s="14" t="str"/>
      <x:c r="J107" s="14" t="str"/>
      <x:c r="K107" s="84" t="str">
        <x:v>🕯 Minor Rogation Day — historical observance</x:v>
      </x:c>
      <x:c r="L107" s="14" t="str"/>
      <x:c r="M107" s="14" t="str"/>
      <x:c r="N107" s="14" t="str">
        <x:v>https://www.usccb.org/resources/2026cal.pdf
https://www.newadvent.org/cathen/13110b.htm</x:v>
      </x:c>
      <x:c r="O107" s="115" t="e">
        <x:f>HYPERLINK("https://bible.usccb.org/bible/readings/051126.cfm","USCCB readings ↗")</x:f>
        <x:v>HYPERLINK is not implemented. linkLocation=https://bible.usccb.org/bible/readings/051126.cfm, friendlyName=USCCB readings ↗</x:v>
      </x:c>
    </x:row>
    <x:row r="108">
      <x:c r="A108" s="38" t="n">
        <x:v>46154</x:v>
      </x:c>
      <x:c r="B108" t="str">
        <x:v>Tuesday</x:v>
      </x:c>
      <x:c r="C108" s="30" t="str">
        <x:v>Easter</x:v>
      </x:c>
      <x:c r="D108" t="str">
        <x:v>Easter Weekday</x:v>
      </x:c>
      <x:c r="E108" t="str">
        <x:v>Weekday</x:v>
      </x:c>
      <x:c r="F108" s="14" t="str">
        <x:v>Saints Nereus and Achilleus; Saint Pancras [Optional Memorial]</x:v>
      </x:c>
      <x:c r="G108" s="14" t="str">
        <x:v>✦ 🕯</x:v>
      </x:c>
      <x:c r="H108" s="14" t="str"/>
      <x:c r="I108" s="14" t="str"/>
      <x:c r="J108" s="14" t="str"/>
      <x:c r="K108" s="84" t="str">
        <x:v>🕯 Minor Rogation Day — historical observance</x:v>
      </x:c>
      <x:c r="L108" s="14" t="str"/>
      <x:c r="M108" s="14" t="str"/>
      <x:c r="N108" s="14" t="str">
        <x:v>https://www.usccb.org/resources/2026cal.pdf
https://www.newadvent.org/cathen/13110b.htm</x:v>
      </x:c>
      <x:c r="O108" s="115" t="e">
        <x:f>HYPERLINK("https://bible.usccb.org/bible/readings/051226.cfm","USCCB readings ↗")</x:f>
        <x:v>HYPERLINK is not implemented. linkLocation=https://bible.usccb.org/bible/readings/051226.cfm, friendlyName=USCCB readings ↗</x:v>
      </x:c>
    </x:row>
    <x:row r="109">
      <x:c r="A109" s="38" t="n">
        <x:v>46155</x:v>
      </x:c>
      <x:c r="B109" t="str">
        <x:v>Wednesday</x:v>
      </x:c>
      <x:c r="C109" s="30" t="str">
        <x:v>Easter</x:v>
      </x:c>
      <x:c r="D109" t="str">
        <x:v>Easter Weekday</x:v>
      </x:c>
      <x:c r="E109" t="str">
        <x:v>Weekday</x:v>
      </x:c>
      <x:c r="F109" s="76" t="str">
        <x:v>Our Lady of Fatima [Optional Memorial]</x:v>
      </x:c>
      <x:c r="G109" s="14" t="str">
        <x:v>🌹 🕯</x:v>
      </x:c>
      <x:c r="H109" s="14" t="str"/>
      <x:c r="I109" s="14" t="str"/>
      <x:c r="J109" s="14" t="str"/>
      <x:c r="K109" s="84" t="str">
        <x:v>🕯 Minor Rogation Day — historical observance</x:v>
      </x:c>
      <x:c r="L109" s="14" t="str"/>
      <x:c r="M109" s="14" t="str"/>
      <x:c r="N109" s="14" t="str">
        <x:v>https://www.usccb.org/resources/2026cal.pdf
https://www.newadvent.org/cathen/13110b.htm</x:v>
      </x:c>
      <x:c r="O109" s="115" t="e">
        <x:f>HYPERLINK("https://bible.usccb.org/bible/readings/051326.cfm","USCCB readings ↗")</x:f>
        <x:v>HYPERLINK is not implemented. linkLocation=https://bible.usccb.org/bible/readings/051326.cfm, friendlyName=USCCB readings ↗</x:v>
      </x:c>
    </x:row>
    <x:row r="110">
      <x:c r="A110" s="38" t="n">
        <x:v>46156</x:v>
      </x:c>
      <x:c r="B110" t="str">
        <x:v>Thursday</x:v>
      </x:c>
      <x:c r="C110" s="30" t="str">
        <x:v>Easter</x:v>
      </x:c>
      <x:c r="D110" t="str">
        <x:v>Saint Matthias, Apostle</x:v>
      </x:c>
      <x:c r="E110" t="str">
        <x:v>Feast</x:v>
      </x:c>
      <x:c r="F110" s="14" t="str">
        <x:v>Saint Matthias, Apostle [Feast]</x:v>
      </x:c>
      <x:c r="G110" s="14" t="str">
        <x:v>★ ✦</x:v>
      </x:c>
      <x:c r="H110" s="14" t="str"/>
      <x:c r="I110" s="14" t="str"/>
      <x:c r="J110" s="14" t="str"/>
      <x:c r="K110" s="14" t="str"/>
      <x:c r="L110" s="14" t="str"/>
      <x:c r="M110" s="14" t="str"/>
      <x:c r="N110" s="14" t="str">
        <x:v>https://www.usccb.org/resources/2026cal.pdf</x:v>
      </x:c>
      <x:c r="O110" s="115" t="e">
        <x:f>HYPERLINK("https://bible.usccb.org/bible/readings/051426.cfm","USCCB readings ↗")</x:f>
        <x:v>HYPERLINK is not implemented. linkLocation=https://bible.usccb.org/bible/readings/051426.cfm, friendlyName=USCCB readings ↗</x:v>
      </x:c>
    </x:row>
    <x:row r="111">
      <x:c r="A111" s="38" t="n">
        <x:v>46157</x:v>
      </x:c>
      <x:c r="B111" t="str">
        <x:v>Friday</x:v>
      </x:c>
      <x:c r="C111" s="30" t="str">
        <x:v>Easter</x:v>
      </x:c>
      <x:c r="D111" t="str">
        <x:v>Easter Weekday</x:v>
      </x:c>
      <x:c r="E111" t="str">
        <x:v>Weekday</x:v>
      </x:c>
      <x:c r="F111" s="14" t="str">
        <x:v>Saint Isidore [Optional Memorial]</x:v>
      </x:c>
      <x:c r="G111" s="14" t="str">
        <x:v>✦ 🙏 Ⓟ</x:v>
      </x:c>
      <x:c r="H111" s="14" t="str"/>
      <x:c r="I111" s="80" t="str">
        <x:v>🙏 Holy Spirit / Pentecost Novena — Day 1/9 [START]</x:v>
      </x:c>
      <x:c r="J111" s="82" t="str">
        <x:v>Friday penance — outside Lent, U.S. Catholics may choose an appropriate penitential practice</x:v>
      </x:c>
      <x:c r="K111" s="14" t="str"/>
      <x:c r="L111" s="14" t="str">
        <x:v>Popular devotion: Saint Dymphna</x:v>
      </x:c>
      <x:c r="M111" s="14" t="str"/>
      <x:c r="N111" s="14" t="str">
        <x:v>https://www.usccb.org/resources/2026cal.pdf
https://www.vatican.va/content/leo-xiii/en/encyclicals/documents/hf_l-xiii_enc_09051897_divinum-illud-munus.html
https://www.usccb.org/prayer-and-worship/liturgical-year-and-calendar/lent/catholic-information-on-lenten-fast-and-abstinence</x:v>
      </x:c>
      <x:c r="O111" s="115" t="e">
        <x:f>HYPERLINK("https://bible.usccb.org/bible/readings/051526.cfm","USCCB readings ↗")</x:f>
        <x:v>HYPERLINK is not implemented. linkLocation=https://bible.usccb.org/bible/readings/051526.cfm, friendlyName=USCCB readings ↗</x:v>
      </x:c>
    </x:row>
    <x:row r="112">
      <x:c r="A112" s="38" t="n">
        <x:v>46158</x:v>
      </x:c>
      <x:c r="B112" t="str">
        <x:v>Saturday</x:v>
      </x:c>
      <x:c r="C112" s="30" t="str">
        <x:v>Easter</x:v>
      </x:c>
      <x:c r="D112" t="str">
        <x:v>Easter Weekday</x:v>
      </x:c>
      <x:c r="E112" t="str">
        <x:v>Weekday</x:v>
      </x:c>
      <x:c r="F112" s="14" t="str"/>
      <x:c r="G112" s="14" t="str">
        <x:v>🙏</x:v>
      </x:c>
      <x:c r="H112" s="14" t="str"/>
      <x:c r="I112" s="80" t="str">
        <x:v>🙏 Holy Spirit / Pentecost Novena — Day 2/9</x:v>
      </x:c>
      <x:c r="J112" s="14" t="str"/>
      <x:c r="K112" s="14" t="str"/>
      <x:c r="L112" s="14" t="str"/>
      <x:c r="M112" s="14" t="str"/>
      <x:c r="N112" s="14" t="str">
        <x:v>https://www.usccb.org/resources/2026cal.pdf
https://www.vatican.va/content/leo-xiii/en/encyclicals/documents/hf_l-xiii_enc_09051897_divinum-illud-munus.html</x:v>
      </x:c>
      <x:c r="O112" s="115" t="e">
        <x:f>HYPERLINK("https://bible.usccb.org/bible/readings/051626.cfm","USCCB readings ↗")</x:f>
        <x:v>HYPERLINK is not implemented. linkLocation=https://bible.usccb.org/bible/readings/051626.cfm, friendlyName=USCCB readings ↗</x:v>
      </x:c>
    </x:row>
    <x:row r="113">
      <x:c r="A113" s="38" t="n">
        <x:v>46159</x:v>
      </x:c>
      <x:c r="B113" t="str">
        <x:v>Sunday</x:v>
      </x:c>
      <x:c r="C113" s="30" t="str">
        <x:v>Easter</x:v>
      </x:c>
      <x:c r="D113" t="str">
        <x:v>Ascension of the Lord — celebrated Sunday in most U.S. provinces</x:v>
      </x:c>
      <x:c r="E113" t="str">
        <x:v>Solemnity</x:v>
      </x:c>
      <x:c r="F113" s="14" t="str"/>
      <x:c r="G113" s="14" t="str">
        <x:v>★ ✝ ⛪ 🙏</x:v>
      </x:c>
      <x:c r="H113" s="78" t="str">
        <x:v>⛪ Sunday Mass obligation</x:v>
      </x:c>
      <x:c r="I113" s="80" t="str">
        <x:v>🙏 Holy Spirit / Pentecost Novena — Day 3/9</x:v>
      </x:c>
      <x:c r="J113" s="14" t="str"/>
      <x:c r="K113" s="14" t="str"/>
      <x:c r="L113" s="14" t="str"/>
      <x:c r="M113" s="14" t="str">
        <x:v>Ascension is celebrated on Sunday in most U.S. ecclesiastical provinces, including Dallas; some U.S. provinces retain Thursday.</x:v>
      </x:c>
      <x:c r="N113" s="14" t="str">
        <x:v>https://www.usccb.org/resources/2026cal.pdf
https://www.usccb.org/beliefs-and-teachings/what-we-believe/canon-law/complementary-norms/canon-1246
https://www.vatican.va/content/leo-xiii/en/encyclicals/documents/hf_l-xiii_enc_09051897_divinum-illud-munus.html</x:v>
      </x:c>
      <x:c r="O113" s="115" t="e">
        <x:f>HYPERLINK("https://bible.usccb.org/bible/readings/051726.cfm","USCCB readings ↗")</x:f>
        <x:v>HYPERLINK is not implemented. linkLocation=https://bible.usccb.org/bible/readings/051726.cfm, friendlyName=USCCB readings ↗</x:v>
      </x:c>
    </x:row>
    <x:row r="114">
      <x:c r="A114" s="38" t="n">
        <x:v>46160</x:v>
      </x:c>
      <x:c r="B114" t="str">
        <x:v>Monday</x:v>
      </x:c>
      <x:c r="C114" s="30" t="str">
        <x:v>Easter</x:v>
      </x:c>
      <x:c r="D114" t="str">
        <x:v>Easter Weekday</x:v>
      </x:c>
      <x:c r="E114" t="str">
        <x:v>Weekday</x:v>
      </x:c>
      <x:c r="F114" s="14" t="str">
        <x:v>Saint John I [Optional Memorial]</x:v>
      </x:c>
      <x:c r="G114" s="14" t="str">
        <x:v>✦ 🙏</x:v>
      </x:c>
      <x:c r="H114" s="14" t="str"/>
      <x:c r="I114" s="80" t="str">
        <x:v>🙏 Holy Spirit / Pentecost Novena — Day 4/9</x:v>
      </x:c>
      <x:c r="J114" s="14" t="str"/>
      <x:c r="K114" s="14" t="str"/>
      <x:c r="L114" s="14" t="str"/>
      <x:c r="M114" s="14" t="str"/>
      <x:c r="N114" s="14" t="str">
        <x:v>https://www.usccb.org/resources/2026cal.pdf
https://www.vatican.va/content/leo-xiii/en/encyclicals/documents/hf_l-xiii_enc_09051897_divinum-illud-munus.html</x:v>
      </x:c>
      <x:c r="O114" s="115" t="e">
        <x:f>HYPERLINK("https://bible.usccb.org/bible/readings/051826.cfm","USCCB readings ↗")</x:f>
        <x:v>HYPERLINK is not implemented. linkLocation=https://bible.usccb.org/bible/readings/051826.cfm, friendlyName=USCCB readings ↗</x:v>
      </x:c>
    </x:row>
    <x:row r="115">
      <x:c r="A115" s="38" t="n">
        <x:v>46161</x:v>
      </x:c>
      <x:c r="B115" t="str">
        <x:v>Tuesday</x:v>
      </x:c>
      <x:c r="C115" s="30" t="str">
        <x:v>Easter</x:v>
      </x:c>
      <x:c r="D115" t="str">
        <x:v>Easter Weekday</x:v>
      </x:c>
      <x:c r="E115" t="str">
        <x:v>Weekday</x:v>
      </x:c>
      <x:c r="F115" s="14" t="str"/>
      <x:c r="G115" s="14" t="str">
        <x:v>🙏</x:v>
      </x:c>
      <x:c r="H115" s="14" t="str"/>
      <x:c r="I115" s="80" t="str">
        <x:v>🙏 Holy Spirit / Pentecost Novena — Day 5/9</x:v>
      </x:c>
      <x:c r="J115" s="14" t="str"/>
      <x:c r="K115" s="14" t="str"/>
      <x:c r="L115" s="14" t="str"/>
      <x:c r="M115" s="14" t="str"/>
      <x:c r="N115" s="14" t="str">
        <x:v>https://www.usccb.org/resources/2026cal.pdf
https://www.vatican.va/content/leo-xiii/en/encyclicals/documents/hf_l-xiii_enc_09051897_divinum-illud-munus.html</x:v>
      </x:c>
      <x:c r="O115" s="115" t="e">
        <x:f>HYPERLINK("https://bible.usccb.org/bible/readings/051926.cfm","USCCB readings ↗")</x:f>
        <x:v>HYPERLINK is not implemented. linkLocation=https://bible.usccb.org/bible/readings/051926.cfm, friendlyName=USCCB readings ↗</x:v>
      </x:c>
    </x:row>
    <x:row r="116">
      <x:c r="A116" s="38" t="n">
        <x:v>46162</x:v>
      </x:c>
      <x:c r="B116" t="str">
        <x:v>Wednesday</x:v>
      </x:c>
      <x:c r="C116" s="30" t="str">
        <x:v>Easter</x:v>
      </x:c>
      <x:c r="D116" t="str">
        <x:v>Easter Weekday</x:v>
      </x:c>
      <x:c r="E116" t="str">
        <x:v>Weekday</x:v>
      </x:c>
      <x:c r="F116" s="14" t="str">
        <x:v>Saint Bernardine of Siena [Optional Memorial]</x:v>
      </x:c>
      <x:c r="G116" s="14" t="str">
        <x:v>✦ 🙏</x:v>
      </x:c>
      <x:c r="H116" s="14" t="str"/>
      <x:c r="I116" s="80" t="str">
        <x:v>🙏 Holy Spirit / Pentecost Novena — Day 6/9</x:v>
      </x:c>
      <x:c r="J116" s="14" t="str"/>
      <x:c r="K116" s="14" t="str"/>
      <x:c r="L116" s="14" t="str"/>
      <x:c r="M116" s="14" t="str"/>
      <x:c r="N116" s="14" t="str">
        <x:v>https://www.usccb.org/resources/2026cal.pdf
https://www.vatican.va/content/leo-xiii/en/encyclicals/documents/hf_l-xiii_enc_09051897_divinum-illud-munus.html</x:v>
      </x:c>
      <x:c r="O116" s="115" t="e">
        <x:f>HYPERLINK("https://bible.usccb.org/bible/readings/052026.cfm","USCCB readings ↗")</x:f>
        <x:v>HYPERLINK is not implemented. linkLocation=https://bible.usccb.org/bible/readings/052026.cfm, friendlyName=USCCB readings ↗</x:v>
      </x:c>
    </x:row>
    <x:row r="117">
      <x:c r="A117" s="38" t="n">
        <x:v>46163</x:v>
      </x:c>
      <x:c r="B117" t="str">
        <x:v>Thursday</x:v>
      </x:c>
      <x:c r="C117" s="30" t="str">
        <x:v>Easter</x:v>
      </x:c>
      <x:c r="D117" t="str">
        <x:v>Easter Weekday</x:v>
      </x:c>
      <x:c r="E117" t="str">
        <x:v>Weekday</x:v>
      </x:c>
      <x:c r="F117" s="14" t="str">
        <x:v>Saint Christopher Magallanes and Companions [Optional Memorial]</x:v>
      </x:c>
      <x:c r="G117" s="14" t="str">
        <x:v>✦ 🙏</x:v>
      </x:c>
      <x:c r="H117" s="14" t="str"/>
      <x:c r="I117" s="80" t="str">
        <x:v>🙏 Holy Spirit / Pentecost Novena — Day 7/9</x:v>
      </x:c>
      <x:c r="J117" s="14" t="str"/>
      <x:c r="K117" s="14" t="str"/>
      <x:c r="L117" s="14" t="str"/>
      <x:c r="M117" s="14" t="str"/>
      <x:c r="N117" s="14" t="str">
        <x:v>https://www.usccb.org/resources/2026cal.pdf
https://www.vatican.va/content/leo-xiii/en/encyclicals/documents/hf_l-xiii_enc_09051897_divinum-illud-munus.html</x:v>
      </x:c>
      <x:c r="O117" s="115" t="e">
        <x:f>HYPERLINK("https://bible.usccb.org/bible/readings/052126.cfm","USCCB readings ↗")</x:f>
        <x:v>HYPERLINK is not implemented. linkLocation=https://bible.usccb.org/bible/readings/052126.cfm, friendlyName=USCCB readings ↗</x:v>
      </x:c>
    </x:row>
    <x:row r="118">
      <x:c r="A118" s="38" t="n">
        <x:v>46164</x:v>
      </x:c>
      <x:c r="B118" t="str">
        <x:v>Friday</x:v>
      </x:c>
      <x:c r="C118" s="30" t="str">
        <x:v>Easter</x:v>
      </x:c>
      <x:c r="D118" t="str">
        <x:v>Easter Weekday</x:v>
      </x:c>
      <x:c r="E118" t="str">
        <x:v>Weekday</x:v>
      </x:c>
      <x:c r="F118" s="14" t="str">
        <x:v>Saint Rita of Cascia [Optional Memorial]</x:v>
      </x:c>
      <x:c r="G118" s="14" t="str">
        <x:v>✦ 🙏 Ⓟ</x:v>
      </x:c>
      <x:c r="H118" s="14" t="str"/>
      <x:c r="I118" s="80" t="str">
        <x:v>🙏 Holy Spirit / Pentecost Novena — Day 8/9</x:v>
      </x:c>
      <x:c r="J118" s="82" t="str">
        <x:v>Friday penance — outside Lent, U.S. Catholics may choose an appropriate penitential practice</x:v>
      </x:c>
      <x:c r="K118" s="14" t="str"/>
      <x:c r="L118" s="14" t="str"/>
      <x:c r="M118" s="14" t="str"/>
      <x:c r="N118" s="14" t="str">
        <x:v>https://www.usccb.org/resources/2026cal.pdf
https://www.vatican.va/content/leo-xiii/en/encyclicals/documents/hf_l-xiii_enc_09051897_divinum-illud-munus.html
https://www.usccb.org/prayer-and-worship/liturgical-year-and-calendar/lent/catholic-information-on-lenten-fast-and-abstinence</x:v>
      </x:c>
      <x:c r="O118" s="115" t="e">
        <x:f>HYPERLINK("https://bible.usccb.org/bible/readings/052226.cfm","USCCB readings ↗")</x:f>
        <x:v>HYPERLINK is not implemented. linkLocation=https://bible.usccb.org/bible/readings/052226.cfm, friendlyName=USCCB readings ↗</x:v>
      </x:c>
    </x:row>
    <x:row r="119">
      <x:c r="A119" s="38" t="n">
        <x:v>46165</x:v>
      </x:c>
      <x:c r="B119" t="str">
        <x:v>Saturday</x:v>
      </x:c>
      <x:c r="C119" s="30" t="str">
        <x:v>Easter</x:v>
      </x:c>
      <x:c r="D119" t="str">
        <x:v>Easter Weekday</x:v>
      </x:c>
      <x:c r="E119" t="str">
        <x:v>Weekday</x:v>
      </x:c>
      <x:c r="F119" s="14" t="str"/>
      <x:c r="G119" s="14" t="str">
        <x:v>🙏</x:v>
      </x:c>
      <x:c r="H119" s="14" t="str"/>
      <x:c r="I119" s="80" t="str">
        <x:v>🙏 Holy Spirit / Pentecost Novena — Day 9/9 [END]</x:v>
      </x:c>
      <x:c r="J119" s="14" t="str"/>
      <x:c r="K119" s="14" t="str"/>
      <x:c r="L119" s="14" t="str"/>
      <x:c r="M119" s="14" t="str"/>
      <x:c r="N119" s="14" t="str">
        <x:v>https://www.usccb.org/resources/2026cal.pdf
https://www.vatican.va/content/leo-xiii/en/encyclicals/documents/hf_l-xiii_enc_09051897_divinum-illud-munus.html</x:v>
      </x:c>
      <x:c r="O119" s="115" t="e">
        <x:f>HYPERLINK("https://bible.usccb.org/bible/readings/052326.cfm","USCCB readings ↗")</x:f>
        <x:v>HYPERLINK is not implemented. linkLocation=https://bible.usccb.org/bible/readings/052326.cfm, friendlyName=USCCB readings ↗</x:v>
      </x:c>
    </x:row>
    <x:row r="120">
      <x:c r="A120" s="38" t="n">
        <x:v>46166</x:v>
      </x:c>
      <x:c r="B120" t="str">
        <x:v>Sunday</x:v>
      </x:c>
      <x:c r="C120" s="30" t="str">
        <x:v>Easter</x:v>
      </x:c>
      <x:c r="D120" t="str">
        <x:v>Pentecost Sunday</x:v>
      </x:c>
      <x:c r="E120" t="str">
        <x:v>Solemnity</x:v>
      </x:c>
      <x:c r="F120" s="14" t="str"/>
      <x:c r="G120" s="14" t="str">
        <x:v>★ ✝ ⛪</x:v>
      </x:c>
      <x:c r="H120" s="78" t="str">
        <x:v>⛪ Sunday Mass obligation</x:v>
      </x:c>
      <x:c r="I120" s="14" t="str"/>
      <x:c r="J120" s="14" t="str"/>
      <x:c r="K120" s="14" t="str"/>
      <x:c r="L120" s="14" t="str"/>
      <x:c r="M120" s="14" t="str"/>
      <x:c r="N120" s="14" t="str">
        <x:v>https://www.usccb.org/resources/2026cal.pdf
https://www.usccb.org/beliefs-and-teachings/what-we-believe/canon-law/complementary-norms/canon-1246</x:v>
      </x:c>
      <x:c r="O120" s="115" t="e">
        <x:f>HYPERLINK("https://bible.usccb.org/bible/readings/052426.cfm","USCCB readings ↗")</x:f>
        <x:v>HYPERLINK is not implemented. linkLocation=https://bible.usccb.org/bible/readings/052426.cfm, friendlyName=USCCB readings ↗</x:v>
      </x:c>
    </x:row>
    <x:row r="121">
      <x:c r="A121" s="38" t="n">
        <x:v>46167</x:v>
      </x:c>
      <x:c r="B121" t="str">
        <x:v>Monday</x:v>
      </x:c>
      <x:c r="C121" s="20" t="str">
        <x:v>Ordinary Time</x:v>
      </x:c>
      <x:c r="D121" t="str">
        <x:v>Blessed Virgin Mary, Mother of the Church</x:v>
      </x:c>
      <x:c r="E121" t="str">
        <x:v>Memorial</x:v>
      </x:c>
      <x:c r="F121" s="76" t="str">
        <x:v>Saint Bede; Saint Gregory VII; Saint Mary Magdalene de' Pazzi [Optional Memorial]
Blessed Virgin Mary, Mother of the Church [Memorial]</x:v>
      </x:c>
      <x:c r="G121" s="14" t="str">
        <x:v>🌹 ✦</x:v>
      </x:c>
      <x:c r="H121" s="14" t="str"/>
      <x:c r="I121" s="14" t="str"/>
      <x:c r="J121" s="14" t="str"/>
      <x:c r="K121" s="14" t="str"/>
      <x:c r="L121" s="14" t="str"/>
      <x:c r="M121" s="14" t="str"/>
      <x:c r="N121" s="14" t="str">
        <x:v>https://www.usccb.org/resources/2026cal.pdf</x:v>
      </x:c>
      <x:c r="O121" s="115" t="e">
        <x:f>HYPERLINK("https://bible.usccb.org/bible/readings/052526.cfm","USCCB readings ↗")</x:f>
        <x:v>HYPERLINK is not implemented. linkLocation=https://bible.usccb.org/bible/readings/052526.cfm, friendlyName=USCCB readings ↗</x:v>
      </x:c>
    </x:row>
    <x:row r="122">
      <x:c r="A122" s="38" t="n">
        <x:v>46168</x:v>
      </x:c>
      <x:c r="B122" t="str">
        <x:v>Tuesday</x:v>
      </x:c>
      <x:c r="C122" s="20" t="str">
        <x:v>Ordinary Time</x:v>
      </x:c>
      <x:c r="D122" t="str">
        <x:v>Saint Philip Neri</x:v>
      </x:c>
      <x:c r="E122" t="str">
        <x:v>Memorial</x:v>
      </x:c>
      <x:c r="F122" s="14" t="str">
        <x:v>Saint Philip Neri [Memorial]</x:v>
      </x:c>
      <x:c r="G122" s="14" t="str">
        <x:v>✦</x:v>
      </x:c>
      <x:c r="H122" s="14" t="str"/>
      <x:c r="I122" s="14" t="str"/>
      <x:c r="J122" s="14" t="str"/>
      <x:c r="K122" s="14" t="str"/>
      <x:c r="L122" s="14" t="str"/>
      <x:c r="M122" s="14" t="str"/>
      <x:c r="N122" s="14" t="str">
        <x:v>https://www.usccb.org/resources/2026cal.pdf</x:v>
      </x:c>
      <x:c r="O122" s="115" t="e">
        <x:f>HYPERLINK("https://bible.usccb.org/bible/readings/052626.cfm","USCCB readings ↗")</x:f>
        <x:v>HYPERLINK is not implemented. linkLocation=https://bible.usccb.org/bible/readings/052626.cfm, friendlyName=USCCB readings ↗</x:v>
      </x:c>
    </x:row>
    <x:row r="123">
      <x:c r="A123" s="38" t="n">
        <x:v>46169</x:v>
      </x:c>
      <x:c r="B123" t="str">
        <x:v>Wednesday</x:v>
      </x:c>
      <x:c r="C123" s="20" t="str">
        <x:v>Ordinary Time</x:v>
      </x:c>
      <x:c r="D123" t="str">
        <x:v>Weekday in Ordinary Time</x:v>
      </x:c>
      <x:c r="E123" t="str">
        <x:v>Weekday</x:v>
      </x:c>
      <x:c r="F123" s="14" t="str">
        <x:v>Saint Augustine of Canterbury [Optional Memorial]</x:v>
      </x:c>
      <x:c r="G123" s="14" t="str">
        <x:v>✦ 🕯</x:v>
      </x:c>
      <x:c r="H123" s="14" t="str"/>
      <x:c r="I123" s="14" t="str"/>
      <x:c r="J123" s="14" t="str"/>
      <x:c r="K123" s="84" t="str">
        <x:v>🕯 Traditional Ember Day</x:v>
      </x:c>
      <x:c r="L123" s="14" t="str"/>
      <x:c r="M123" s="14" t="str"/>
      <x:c r="N123" s="14" t="str">
        <x:v>https://www.usccb.org/resources/2026cal.pdf
https://www.newadvent.org/cathen/05399b.htm</x:v>
      </x:c>
      <x:c r="O123" s="115" t="e">
        <x:f>HYPERLINK("https://bible.usccb.org/bible/readings/052726.cfm","USCCB readings ↗")</x:f>
        <x:v>HYPERLINK is not implemented. linkLocation=https://bible.usccb.org/bible/readings/052726.cfm, friendlyName=USCCB readings ↗</x:v>
      </x:c>
    </x:row>
    <x:row r="124">
      <x:c r="A124" s="38" t="n">
        <x:v>46171</x:v>
      </x:c>
      <x:c r="B124" t="str">
        <x:v>Friday</x:v>
      </x:c>
      <x:c r="C124" s="20" t="str">
        <x:v>Ordinary Time</x:v>
      </x:c>
      <x:c r="D124" t="str">
        <x:v>Weekday in Ordinary Time</x:v>
      </x:c>
      <x:c r="E124" t="str">
        <x:v>Weekday</x:v>
      </x:c>
      <x:c r="F124" s="14" t="str">
        <x:v>Saint Paul VI [Optional Memorial]</x:v>
      </x:c>
      <x:c r="G124" s="14" t="str">
        <x:v>✦ Ⓟ 🕯</x:v>
      </x:c>
      <x:c r="H124" s="14" t="str"/>
      <x:c r="I124" s="14" t="str"/>
      <x:c r="J124" s="82" t="str">
        <x:v>Friday penance — outside Lent, U.S. Catholics may choose an appropriate penitential practice</x:v>
      </x:c>
      <x:c r="K124" s="84" t="str">
        <x:v>🕯 Traditional Ember Day</x:v>
      </x:c>
      <x:c r="L124" s="14" t="str"/>
      <x:c r="M124" s="14" t="str"/>
      <x:c r="N124" s="14" t="str">
        <x:v>https://www.usccb.org/resources/2026cal.pdf
https://www.usccb.org/prayer-and-worship/liturgical-year-and-calendar/lent/catholic-information-on-lenten-fast-and-abstinence
https://www.newadvent.org/cathen/05399b.htm</x:v>
      </x:c>
      <x:c r="O124" s="115" t="e">
        <x:f>HYPERLINK("https://bible.usccb.org/bible/readings/052926.cfm","USCCB readings ↗")</x:f>
        <x:v>HYPERLINK is not implemented. linkLocation=https://bible.usccb.org/bible/readings/052926.cfm, friendlyName=USCCB readings ↗</x:v>
      </x:c>
    </x:row>
    <x:row r="125">
      <x:c r="A125" s="38" t="n">
        <x:v>46172</x:v>
      </x:c>
      <x:c r="B125" t="str">
        <x:v>Saturday</x:v>
      </x:c>
      <x:c r="C125" s="20" t="str">
        <x:v>Ordinary Time</x:v>
      </x:c>
      <x:c r="D125" t="str">
        <x:v>Weekday in Ordinary Time</x:v>
      </x:c>
      <x:c r="E125" t="str">
        <x:v>Weekday</x:v>
      </x:c>
      <x:c r="F125" s="14" t="str"/>
      <x:c r="G125" s="14" t="str">
        <x:v>🕯</x:v>
      </x:c>
      <x:c r="H125" s="14" t="str"/>
      <x:c r="I125" s="14" t="str"/>
      <x:c r="J125" s="14" t="str"/>
      <x:c r="K125" s="84" t="str">
        <x:v>🕯 Traditional Ember Day</x:v>
      </x:c>
      <x:c r="L125" s="14" t="str"/>
      <x:c r="M125" s="14" t="str"/>
      <x:c r="N125" s="14" t="str">
        <x:v>https://www.usccb.org/resources/2026cal.pdf
https://www.newadvent.org/cathen/05399b.htm</x:v>
      </x:c>
      <x:c r="O125" s="115" t="e">
        <x:f>HYPERLINK("https://bible.usccb.org/bible/readings/053026.cfm","USCCB readings ↗")</x:f>
        <x:v>HYPERLINK is not implemented. linkLocation=https://bible.usccb.org/bible/readings/053026.cfm, friendlyName=USCCB readings ↗</x:v>
      </x:c>
    </x:row>
    <x:row r="126">
      <x:c r="A126" s="38" t="n">
        <x:v>46173</x:v>
      </x:c>
      <x:c r="B126" t="str">
        <x:v>Sunday</x:v>
      </x:c>
      <x:c r="C126" s="20" t="str">
        <x:v>Ordinary Time</x:v>
      </x:c>
      <x:c r="D126" t="str">
        <x:v>Most Holy Trinity</x:v>
      </x:c>
      <x:c r="E126" t="str">
        <x:v>Solemnity</x:v>
      </x:c>
      <x:c r="F126" s="76" t="str">
        <x:v>Visitation of the Blessed Virgin Mary [Feast]</x:v>
      </x:c>
      <x:c r="G126" s="14" t="str">
        <x:v>★ ✝ 🌹 ⛪</x:v>
      </x:c>
      <x:c r="H126" s="78" t="str">
        <x:v>⛪ Sunday Mass obligation</x:v>
      </x:c>
      <x:c r="I126" s="14" t="str"/>
      <x:c r="J126" s="14" t="str"/>
      <x:c r="K126" s="14" t="str"/>
      <x:c r="L126" s="14" t="str"/>
      <x:c r="M126" s="14" t="str">
        <x:v>A fixed observance also falls today, but the Sunday or higher-ranking celebration takes liturgical precedence.</x:v>
      </x:c>
      <x:c r="N126" s="14" t="str">
        <x:v>https://www.usccb.org/resources/2026cal.pdf
https://www.usccb.org/beliefs-and-teachings/what-we-believe/canon-law/complementary-norms/canon-1246</x:v>
      </x:c>
      <x:c r="O126" s="115" t="e">
        <x:f>HYPERLINK("https://bible.usccb.org/bible/readings/053126.cfm","USCCB readings ↗")</x:f>
        <x:v>HYPERLINK is not implemented. linkLocation=https://bible.usccb.org/bible/readings/053126.cfm, friendlyName=USCCB readings ↗</x:v>
      </x:c>
    </x:row>
    <x:row r="127">
      <x:c r="A127" s="38" t="n">
        <x:v>46174</x:v>
      </x:c>
      <x:c r="B127" t="str">
        <x:v>Monday</x:v>
      </x:c>
      <x:c r="C127" s="20" t="str">
        <x:v>Ordinary Time</x:v>
      </x:c>
      <x:c r="D127" t="str">
        <x:v>Saint Justin</x:v>
      </x:c>
      <x:c r="E127" t="str">
        <x:v>Memorial</x:v>
      </x:c>
      <x:c r="F127" s="14" t="str">
        <x:v>Saint Justin [Memorial]</x:v>
      </x:c>
      <x:c r="G127" s="14" t="str">
        <x:v>✦</x:v>
      </x:c>
      <x:c r="H127" s="14" t="str"/>
      <x:c r="I127" s="14" t="str"/>
      <x:c r="J127" s="14" t="str"/>
      <x:c r="K127" s="14" t="str"/>
      <x:c r="L127" s="14" t="str"/>
      <x:c r="M127" s="14" t="str"/>
      <x:c r="N127" s="14" t="str">
        <x:v>https://www.usccb.org/resources/2026cal.pdf</x:v>
      </x:c>
      <x:c r="O127" s="115" t="e">
        <x:f>HYPERLINK("https://bible.usccb.org/bible/readings/060126.cfm","USCCB readings ↗")</x:f>
        <x:v>HYPERLINK is not implemented. linkLocation=https://bible.usccb.org/bible/readings/060126.cfm, friendlyName=USCCB readings ↗</x:v>
      </x:c>
    </x:row>
    <x:row r="128">
      <x:c r="A128" s="38" t="n">
        <x:v>46175</x:v>
      </x:c>
      <x:c r="B128" t="str">
        <x:v>Tuesday</x:v>
      </x:c>
      <x:c r="C128" s="20" t="str">
        <x:v>Ordinary Time</x:v>
      </x:c>
      <x:c r="D128" t="str">
        <x:v>Weekday in Ordinary Time</x:v>
      </x:c>
      <x:c r="E128" t="str">
        <x:v>Weekday</x:v>
      </x:c>
      <x:c r="F128" s="14" t="str">
        <x:v>Saints Marcellinus and Peter [Optional Memorial]</x:v>
      </x:c>
      <x:c r="G128" s="14" t="str">
        <x:v>✦</x:v>
      </x:c>
      <x:c r="H128" s="14" t="str"/>
      <x:c r="I128" s="14" t="str"/>
      <x:c r="J128" s="14" t="str"/>
      <x:c r="K128" s="14" t="str"/>
      <x:c r="L128" s="14" t="str"/>
      <x:c r="M128" s="14" t="str"/>
      <x:c r="N128" s="14" t="str">
        <x:v>https://www.usccb.org/resources/2026cal.pdf</x:v>
      </x:c>
      <x:c r="O128" s="115" t="e">
        <x:f>HYPERLINK("https://bible.usccb.org/bible/readings/060226.cfm","USCCB readings ↗")</x:f>
        <x:v>HYPERLINK is not implemented. linkLocation=https://bible.usccb.org/bible/readings/060226.cfm, friendlyName=USCCB readings ↗</x:v>
      </x:c>
    </x:row>
    <x:row r="129">
      <x:c r="A129" s="38" t="n">
        <x:v>46176</x:v>
      </x:c>
      <x:c r="B129" t="str">
        <x:v>Wednesday</x:v>
      </x:c>
      <x:c r="C129" s="20" t="str">
        <x:v>Ordinary Time</x:v>
      </x:c>
      <x:c r="D129" t="str">
        <x:v>Saint Charles Lwanga and Companions</x:v>
      </x:c>
      <x:c r="E129" t="str">
        <x:v>Memorial</x:v>
      </x:c>
      <x:c r="F129" s="14" t="str">
        <x:v>Saint Charles Lwanga and Companions [Memorial]</x:v>
      </x:c>
      <x:c r="G129" s="14" t="str">
        <x:v>✦ 🙏</x:v>
      </x:c>
      <x:c r="H129" s="14" t="str"/>
      <x:c r="I129" s="80" t="str">
        <x:v>🙏 Sacred Heart Novena — Day 1/9 [START]</x:v>
      </x:c>
      <x:c r="J129" s="14" t="str"/>
      <x:c r="K129" s="14" t="str"/>
      <x:c r="L129" s="14" t="str"/>
      <x:c r="M129" s="14" t="str"/>
      <x:c r="N129" s="14" t="str">
        <x:v>https://www.usccb.org/resources/2026cal.pdf
https://www.usccb.org/resources/liturgical-calendar-dioceses-united-states-america</x:v>
      </x:c>
      <x:c r="O129" s="115" t="e">
        <x:f>HYPERLINK("https://bible.usccb.org/bible/readings/060326.cfm","USCCB readings ↗")</x:f>
        <x:v>HYPERLINK is not implemented. linkLocation=https://bible.usccb.org/bible/readings/060326.cfm, friendlyName=USCCB readings ↗</x:v>
      </x:c>
    </x:row>
    <x:row r="130">
      <x:c r="A130" s="38" t="n">
        <x:v>46177</x:v>
      </x:c>
      <x:c r="B130" t="str">
        <x:v>Thursday</x:v>
      </x:c>
      <x:c r="C130" s="20" t="str">
        <x:v>Ordinary Time</x:v>
      </x:c>
      <x:c r="D130" t="str">
        <x:v>Weekday in Ordinary Time</x:v>
      </x:c>
      <x:c r="E130" t="str">
        <x:v>Weekday</x:v>
      </x:c>
      <x:c r="F130" s="14" t="str"/>
      <x:c r="G130" s="14" t="str">
        <x:v>🙏</x:v>
      </x:c>
      <x:c r="H130" s="14" t="str"/>
      <x:c r="I130" s="80" t="str">
        <x:v>🙏 Sacred Heart Novena — Day 2/9</x:v>
      </x:c>
      <x:c r="J130" s="14" t="str"/>
      <x:c r="K130" s="14" t="str"/>
      <x:c r="L130" s="14" t="str"/>
      <x:c r="M130" s="14" t="str"/>
      <x:c r="N130" s="14" t="str">
        <x:v>https://www.usccb.org/resources/2026cal.pdf
https://www.usccb.org/resources/liturgical-calendar-dioceses-united-states-america</x:v>
      </x:c>
      <x:c r="O130" s="115" t="e">
        <x:f>HYPERLINK("https://bible.usccb.org/bible/readings/060426.cfm","USCCB readings ↗")</x:f>
        <x:v>HYPERLINK is not implemented. linkLocation=https://bible.usccb.org/bible/readings/060426.cfm, friendlyName=USCCB readings ↗</x:v>
      </x:c>
    </x:row>
    <x:row r="131">
      <x:c r="A131" s="38" t="n">
        <x:v>46178</x:v>
      </x:c>
      <x:c r="B131" t="str">
        <x:v>Friday</x:v>
      </x:c>
      <x:c r="C131" s="20" t="str">
        <x:v>Ordinary Time</x:v>
      </x:c>
      <x:c r="D131" t="str">
        <x:v>Saint Boniface</x:v>
      </x:c>
      <x:c r="E131" t="str">
        <x:v>Memorial</x:v>
      </x:c>
      <x:c r="F131" s="14" t="str">
        <x:v>Saint Boniface [Memorial]</x:v>
      </x:c>
      <x:c r="G131" s="14" t="str">
        <x:v>✦ 🙏 Ⓟ</x:v>
      </x:c>
      <x:c r="H131" s="14" t="str"/>
      <x:c r="I131" s="80" t="str">
        <x:v>🙏 Sacred Heart Novena — Day 3/9
❤ First Friday — Sacred Heart devotion</x:v>
      </x:c>
      <x:c r="J131" s="82" t="str">
        <x:v>Friday penance — outside Lent, U.S. Catholics may choose an appropriate penitential practice</x:v>
      </x:c>
      <x:c r="K131" s="14" t="str"/>
      <x:c r="L131" s="14" t="str"/>
      <x:c r="M131" s="14" t="str"/>
      <x:c r="N131" s="14" t="str">
        <x:v>https://www.usccb.org/resources/2026cal.pdf
https://www.usccb.org/resources/liturgical-calendar-dioceses-united-states-america
https://www.ewtn.com/catholicism/library/first-friday-devotion-to-sacred-heart-4692
https://www.usccb.org/prayer-and-worship/liturgical-year-and-calendar/lent/catholic-information-on-lenten-fast-and-abstinence</x:v>
      </x:c>
      <x:c r="O131" s="115" t="e">
        <x:f>HYPERLINK("https://bible.usccb.org/bible/readings/060526.cfm","USCCB readings ↗")</x:f>
        <x:v>HYPERLINK is not implemented. linkLocation=https://bible.usccb.org/bible/readings/060526.cfm, friendlyName=USCCB readings ↗</x:v>
      </x:c>
    </x:row>
    <x:row r="132">
      <x:c r="A132" s="38" t="n">
        <x:v>46179</x:v>
      </x:c>
      <x:c r="B132" t="str">
        <x:v>Saturday</x:v>
      </x:c>
      <x:c r="C132" s="20" t="str">
        <x:v>Ordinary Time</x:v>
      </x:c>
      <x:c r="D132" t="str">
        <x:v>Weekday in Ordinary Time</x:v>
      </x:c>
      <x:c r="E132" t="str">
        <x:v>Weekday</x:v>
      </x:c>
      <x:c r="F132" s="76" t="str">
        <x:v>Saint Norbert [Optional Memorial]</x:v>
      </x:c>
      <x:c r="G132" s="14" t="str">
        <x:v>✦ 🙏 🌹</x:v>
      </x:c>
      <x:c r="H132" s="14" t="str"/>
      <x:c r="I132" s="80" t="str">
        <x:v>🙏 Sacred Heart Novena — Day 4/9
🌹 First Saturday — Immaculate Heart devotion</x:v>
      </x:c>
      <x:c r="J132" s="14" t="str"/>
      <x:c r="K132" s="14" t="str"/>
      <x:c r="L132" s="14" t="str"/>
      <x:c r="M132" s="14" t="str"/>
      <x:c r="N132" s="14" t="str">
        <x:v>https://www.usccb.org/resources/2026cal.pdf
https://www.usccb.org/resources/liturgical-calendar-dioceses-united-states-america
https://www.ewtn.com/catholicism/library/revelation-of-the-immaculate-heart-at-fatima-in-1917-5465</x:v>
      </x:c>
      <x:c r="O132" s="115" t="e">
        <x:f>HYPERLINK("https://bible.usccb.org/bible/readings/060626.cfm","USCCB readings ↗")</x:f>
        <x:v>HYPERLINK is not implemented. linkLocation=https://bible.usccb.org/bible/readings/060626.cfm, friendlyName=USCCB readings ↗</x:v>
      </x:c>
    </x:row>
    <x:row r="133">
      <x:c r="A133" s="38" t="n">
        <x:v>46180</x:v>
      </x:c>
      <x:c r="B133" t="str">
        <x:v>Sunday</x:v>
      </x:c>
      <x:c r="C133" s="20" t="str">
        <x:v>Ordinary Time</x:v>
      </x:c>
      <x:c r="D133" t="str">
        <x:v>Most Holy Body and Blood of Christ (Corpus Christi)</x:v>
      </x:c>
      <x:c r="E133" t="str">
        <x:v>Solemnity</x:v>
      </x:c>
      <x:c r="F133" s="14" t="str"/>
      <x:c r="G133" s="14" t="str">
        <x:v>★ ✝ ⛪ 🙏</x:v>
      </x:c>
      <x:c r="H133" s="78" t="str">
        <x:v>⛪ Sunday Mass obligation</x:v>
      </x:c>
      <x:c r="I133" s="80" t="str">
        <x:v>🙏 Sacred Heart Novena — Day 5/9</x:v>
      </x:c>
      <x:c r="J133" s="14" t="str"/>
      <x:c r="K133" s="14" t="str"/>
      <x:c r="L133" s="14" t="str"/>
      <x:c r="M133" s="14" t="str"/>
      <x:c r="N133" s="14" t="str">
        <x:v>https://www.usccb.org/resources/2026cal.pdf
https://www.usccb.org/beliefs-and-teachings/what-we-believe/canon-law/complementary-norms/canon-1246
https://www.usccb.org/resources/liturgical-calendar-dioceses-united-states-america</x:v>
      </x:c>
      <x:c r="O133" s="115" t="e">
        <x:f>HYPERLINK("https://bible.usccb.org/bible/readings/060726.cfm","USCCB readings ↗")</x:f>
        <x:v>HYPERLINK is not implemented. linkLocation=https://bible.usccb.org/bible/readings/060726.cfm, friendlyName=USCCB readings ↗</x:v>
      </x:c>
    </x:row>
    <x:row r="134">
      <x:c r="A134" s="38" t="n">
        <x:v>46181</x:v>
      </x:c>
      <x:c r="B134" t="str">
        <x:v>Monday</x:v>
      </x:c>
      <x:c r="C134" s="20" t="str">
        <x:v>Ordinary Time</x:v>
      </x:c>
      <x:c r="D134" t="str">
        <x:v>Weekday in Ordinary Time</x:v>
      </x:c>
      <x:c r="E134" t="str">
        <x:v>Weekday</x:v>
      </x:c>
      <x:c r="F134" s="14" t="str"/>
      <x:c r="G134" s="14" t="str">
        <x:v>🙏</x:v>
      </x:c>
      <x:c r="H134" s="14" t="str"/>
      <x:c r="I134" s="80" t="str">
        <x:v>🙏 Sacred Heart Novena — Day 6/9</x:v>
      </x:c>
      <x:c r="J134" s="14" t="str"/>
      <x:c r="K134" s="14" t="str"/>
      <x:c r="L134" s="14" t="str"/>
      <x:c r="M134" s="14" t="str"/>
      <x:c r="N134" s="14" t="str">
        <x:v>https://www.usccb.org/resources/2026cal.pdf
https://www.usccb.org/resources/liturgical-calendar-dioceses-united-states-america</x:v>
      </x:c>
      <x:c r="O134" s="115" t="e">
        <x:f>HYPERLINK("https://bible.usccb.org/bible/readings/060826.cfm","USCCB readings ↗")</x:f>
        <x:v>HYPERLINK is not implemented. linkLocation=https://bible.usccb.org/bible/readings/060826.cfm, friendlyName=USCCB readings ↗</x:v>
      </x:c>
    </x:row>
    <x:row r="135">
      <x:c r="A135" s="38" t="n">
        <x:v>46182</x:v>
      </x:c>
      <x:c r="B135" t="str">
        <x:v>Tuesday</x:v>
      </x:c>
      <x:c r="C135" s="20" t="str">
        <x:v>Ordinary Time</x:v>
      </x:c>
      <x:c r="D135" t="str">
        <x:v>Weekday in Ordinary Time</x:v>
      </x:c>
      <x:c r="E135" t="str">
        <x:v>Weekday</x:v>
      </x:c>
      <x:c r="F135" s="14" t="str">
        <x:v>Saint Ephrem [Optional Memorial]</x:v>
      </x:c>
      <x:c r="G135" s="14" t="str">
        <x:v>✦ 🙏</x:v>
      </x:c>
      <x:c r="H135" s="14" t="str"/>
      <x:c r="I135" s="80" t="str">
        <x:v>🙏 Sacred Heart Novena — Day 7/9</x:v>
      </x:c>
      <x:c r="J135" s="14" t="str"/>
      <x:c r="K135" s="14" t="str"/>
      <x:c r="L135" s="14" t="str"/>
      <x:c r="M135" s="14" t="str"/>
      <x:c r="N135" s="14" t="str">
        <x:v>https://www.usccb.org/resources/2026cal.pdf
https://www.usccb.org/resources/liturgical-calendar-dioceses-united-states-america</x:v>
      </x:c>
      <x:c r="O135" s="115" t="e">
        <x:f>HYPERLINK("https://bible.usccb.org/bible/readings/060926.cfm","USCCB readings ↗")</x:f>
        <x:v>HYPERLINK is not implemented. linkLocation=https://bible.usccb.org/bible/readings/060926.cfm, friendlyName=USCCB readings ↗</x:v>
      </x:c>
    </x:row>
    <x:row r="136">
      <x:c r="A136" s="38" t="n">
        <x:v>46183</x:v>
      </x:c>
      <x:c r="B136" t="str">
        <x:v>Wednesday</x:v>
      </x:c>
      <x:c r="C136" s="20" t="str">
        <x:v>Ordinary Time</x:v>
      </x:c>
      <x:c r="D136" t="str">
        <x:v>Weekday in Ordinary Time</x:v>
      </x:c>
      <x:c r="E136" t="str">
        <x:v>Weekday</x:v>
      </x:c>
      <x:c r="F136" s="14" t="str"/>
      <x:c r="G136" s="14" t="str">
        <x:v>🙏</x:v>
      </x:c>
      <x:c r="H136" s="14" t="str"/>
      <x:c r="I136" s="80" t="str">
        <x:v>🙏 Sacred Heart Novena — Day 8/9</x:v>
      </x:c>
      <x:c r="J136" s="14" t="str"/>
      <x:c r="K136" s="14" t="str"/>
      <x:c r="L136" s="14" t="str"/>
      <x:c r="M136" s="14" t="str"/>
      <x:c r="N136" s="14" t="str">
        <x:v>https://www.usccb.org/resources/2026cal.pdf
https://www.usccb.org/resources/liturgical-calendar-dioceses-united-states-america</x:v>
      </x:c>
      <x:c r="O136" s="115" t="e">
        <x:f>HYPERLINK("https://bible.usccb.org/bible/readings/061026.cfm","USCCB readings ↗")</x:f>
        <x:v>HYPERLINK is not implemented. linkLocation=https://bible.usccb.org/bible/readings/061026.cfm, friendlyName=USCCB readings ↗</x:v>
      </x:c>
    </x:row>
    <x:row r="137">
      <x:c r="A137" s="38" t="n">
        <x:v>46184</x:v>
      </x:c>
      <x:c r="B137" t="str">
        <x:v>Thursday</x:v>
      </x:c>
      <x:c r="C137" s="20" t="str">
        <x:v>Ordinary Time</x:v>
      </x:c>
      <x:c r="D137" t="str">
        <x:v>Saint Barnabas, Apostle</x:v>
      </x:c>
      <x:c r="E137" t="str">
        <x:v>Memorial</x:v>
      </x:c>
      <x:c r="F137" s="14" t="str">
        <x:v>Saint Barnabas, Apostle [Memorial]</x:v>
      </x:c>
      <x:c r="G137" s="14" t="str">
        <x:v>✦ 🙏</x:v>
      </x:c>
      <x:c r="H137" s="14" t="str"/>
      <x:c r="I137" s="80" t="str">
        <x:v>🙏 Sacred Heart Novena — Day 9/9 [END]</x:v>
      </x:c>
      <x:c r="J137" s="14" t="str"/>
      <x:c r="K137" s="14" t="str"/>
      <x:c r="L137" s="14" t="str"/>
      <x:c r="M137" s="14" t="str"/>
      <x:c r="N137" s="14" t="str">
        <x:v>https://www.usccb.org/resources/2026cal.pdf
https://www.usccb.org/resources/liturgical-calendar-dioceses-united-states-america</x:v>
      </x:c>
      <x:c r="O137" s="115" t="e">
        <x:f>HYPERLINK("https://bible.usccb.org/bible/readings/061126.cfm","USCCB readings ↗")</x:f>
        <x:v>HYPERLINK is not implemented. linkLocation=https://bible.usccb.org/bible/readings/061126.cfm, friendlyName=USCCB readings ↗</x:v>
      </x:c>
    </x:row>
    <x:row r="138">
      <x:c r="A138" s="38" t="n">
        <x:v>46185</x:v>
      </x:c>
      <x:c r="B138" t="str">
        <x:v>Friday</x:v>
      </x:c>
      <x:c r="C138" s="20" t="str">
        <x:v>Ordinary Time</x:v>
      </x:c>
      <x:c r="D138" t="str">
        <x:v>Most Sacred Heart of Jesus</x:v>
      </x:c>
      <x:c r="E138" t="str">
        <x:v>Solemnity</x:v>
      </x:c>
      <x:c r="F138" s="14" t="str"/>
      <x:c r="G138" s="14" t="str">
        <x:v>★ ✝ Ⓟ</x:v>
      </x:c>
      <x:c r="H138" s="14" t="str"/>
      <x:c r="I138" s="14" t="str"/>
      <x:c r="J138" s="82" t="str">
        <x:v>Friday penance — outside Lent, U.S. Catholics may choose an appropriate penitential practice</x:v>
      </x:c>
      <x:c r="K138" s="14" t="str"/>
      <x:c r="L138" s="14" t="str"/>
      <x:c r="M138" s="14" t="str"/>
      <x:c r="N138" s="14" t="str">
        <x:v>https://www.usccb.org/resources/2026cal.pdf
https://www.usccb.org/prayer-and-worship/liturgical-year-and-calendar/lent/catholic-information-on-lenten-fast-and-abstinence</x:v>
      </x:c>
      <x:c r="O138" s="115" t="e">
        <x:f>HYPERLINK("https://bible.usccb.org/bible/readings/061226.cfm","USCCB readings ↗")</x:f>
        <x:v>HYPERLINK is not implemented. linkLocation=https://bible.usccb.org/bible/readings/061226.cfm, friendlyName=USCCB readings ↗</x:v>
      </x:c>
    </x:row>
    <x:row r="139">
      <x:c r="A139" s="38" t="n">
        <x:v>46186</x:v>
      </x:c>
      <x:c r="B139" t="str">
        <x:v>Saturday</x:v>
      </x:c>
      <x:c r="C139" s="20" t="str">
        <x:v>Ordinary Time</x:v>
      </x:c>
      <x:c r="D139" t="str">
        <x:v>Immaculate Heart of the Blessed Virgin Mary</x:v>
      </x:c>
      <x:c r="E139" t="str">
        <x:v>Memorial</x:v>
      </x:c>
      <x:c r="F139" s="76" t="str">
        <x:v>Saint Anthony of Padua [Memorial]
Immaculate Heart of the Blessed Virgin Mary [Memorial]</x:v>
      </x:c>
      <x:c r="G139" s="14" t="str">
        <x:v>🌹 ✦</x:v>
      </x:c>
      <x:c r="H139" s="14" t="str"/>
      <x:c r="I139" s="14" t="str"/>
      <x:c r="J139" s="14" t="str"/>
      <x:c r="K139" s="14" t="str"/>
      <x:c r="L139" s="14" t="str"/>
      <x:c r="M139" s="14" t="str"/>
      <x:c r="N139" s="14" t="str">
        <x:v>https://www.usccb.org/resources/2026cal.pdf</x:v>
      </x:c>
      <x:c r="O139" s="115" t="e">
        <x:f>HYPERLINK("https://bible.usccb.org/bible/readings/061326.cfm","USCCB readings ↗")</x:f>
        <x:v>HYPERLINK is not implemented. linkLocation=https://bible.usccb.org/bible/readings/061326.cfm, friendlyName=USCCB readings ↗</x:v>
      </x:c>
    </x:row>
    <x:row r="140">
      <x:c r="A140" s="38" t="n">
        <x:v>46187</x:v>
      </x:c>
      <x:c r="B140" t="str">
        <x:v>Sunday</x:v>
      </x:c>
      <x:c r="C140" s="20" t="str">
        <x:v>Ordinary Time</x:v>
      </x:c>
      <x:c r="D140" t="str">
        <x:v>Eleventh Sunday in Ordinary Time</x:v>
      </x:c>
      <x:c r="E140" t="str">
        <x:v>Sunday</x:v>
      </x:c>
      <x:c r="F140" s="14" t="str"/>
      <x:c r="G140" s="14" t="str">
        <x:v>⛪</x:v>
      </x:c>
      <x:c r="H140" s="78" t="str">
        <x:v>⛪ Sunday Mass obligation</x:v>
      </x:c>
      <x:c r="I140" s="14" t="str"/>
      <x:c r="J140" s="14" t="str"/>
      <x:c r="K140" s="14" t="str"/>
      <x:c r="L140" s="14" t="str"/>
      <x:c r="M140" s="14" t="str"/>
      <x:c r="N140" s="14" t="str">
        <x:v>https://www.usccb.org/resources/2026cal.pdf
https://www.usccb.org/beliefs-and-teachings/what-we-believe/canon-law/complementary-norms/canon-1246</x:v>
      </x:c>
      <x:c r="O140" s="115" t="e">
        <x:f>HYPERLINK("https://bible.usccb.org/bible/readings/061426.cfm","USCCB readings ↗")</x:f>
        <x:v>HYPERLINK is not implemented. linkLocation=https://bible.usccb.org/bible/readings/061426.cfm, friendlyName=USCCB readings ↗</x:v>
      </x:c>
    </x:row>
    <x:row r="141">
      <x:c r="A141" s="38" t="n">
        <x:v>46192</x:v>
      </x:c>
      <x:c r="B141" t="str">
        <x:v>Friday</x:v>
      </x:c>
      <x:c r="C141" s="20" t="str">
        <x:v>Ordinary Time</x:v>
      </x:c>
      <x:c r="D141" t="str">
        <x:v>Weekday in Ordinary Time</x:v>
      </x:c>
      <x:c r="E141" t="str">
        <x:v>Weekday</x:v>
      </x:c>
      <x:c r="F141" s="14" t="str">
        <x:v>Saint Romuald [Optional Memorial]</x:v>
      </x:c>
      <x:c r="G141" s="14" t="str">
        <x:v>✦ Ⓟ</x:v>
      </x:c>
      <x:c r="H141" s="14" t="str"/>
      <x:c r="I141" s="14" t="str"/>
      <x:c r="J141" s="82" t="str">
        <x:v>Friday penance — outside Lent, U.S. Catholics may choose an appropriate penitential practice</x:v>
      </x:c>
      <x:c r="K141" s="14" t="str"/>
      <x:c r="L141" s="14" t="str"/>
      <x:c r="M141" s="14" t="str"/>
      <x:c r="N141" s="14" t="str">
        <x:v>https://www.usccb.org/resources/2026cal.pdf
https://www.usccb.org/prayer-and-worship/liturgical-year-and-calendar/lent/catholic-information-on-lenten-fast-and-abstinence</x:v>
      </x:c>
      <x:c r="O141" s="115" t="e">
        <x:f>HYPERLINK("https://bible.usccb.org/bible/readings/061926.cfm","USCCB readings ↗")</x:f>
        <x:v>HYPERLINK is not implemented. linkLocation=https://bible.usccb.org/bible/readings/061926.cfm, friendlyName=USCCB readings ↗</x:v>
      </x:c>
    </x:row>
    <x:row r="142">
      <x:c r="A142" s="38" t="n">
        <x:v>46194</x:v>
      </x:c>
      <x:c r="B142" t="str">
        <x:v>Sunday</x:v>
      </x:c>
      <x:c r="C142" s="20" t="str">
        <x:v>Ordinary Time</x:v>
      </x:c>
      <x:c r="D142" t="str">
        <x:v>Twelfth Sunday in Ordinary Time</x:v>
      </x:c>
      <x:c r="E142" t="str">
        <x:v>Sunday</x:v>
      </x:c>
      <x:c r="F142" s="14" t="str">
        <x:v>Saint Aloysius Gonzaga [Memorial]</x:v>
      </x:c>
      <x:c r="G142" s="14" t="str">
        <x:v>✦ ⛪</x:v>
      </x:c>
      <x:c r="H142" s="78" t="str">
        <x:v>⛪ Sunday Mass obligation</x:v>
      </x:c>
      <x:c r="I142" s="14" t="str"/>
      <x:c r="J142" s="14" t="str"/>
      <x:c r="K142" s="14" t="str"/>
      <x:c r="L142" s="14" t="str"/>
      <x:c r="M142" s="14" t="str">
        <x:v>A fixed observance also falls today, but the Sunday or higher-ranking celebration takes liturgical precedence.</x:v>
      </x:c>
      <x:c r="N142" s="14" t="str">
        <x:v>https://www.usccb.org/resources/2026cal.pdf
https://www.usccb.org/beliefs-and-teachings/what-we-believe/canon-law/complementary-norms/canon-1246</x:v>
      </x:c>
      <x:c r="O142" s="115" t="e">
        <x:f>HYPERLINK("https://bible.usccb.org/bible/readings/062126.cfm","USCCB readings ↗")</x:f>
        <x:v>HYPERLINK is not implemented. linkLocation=https://bible.usccb.org/bible/readings/062126.cfm, friendlyName=USCCB readings ↗</x:v>
      </x:c>
    </x:row>
    <x:row r="143">
      <x:c r="A143" s="38" t="n">
        <x:v>46195</x:v>
      </x:c>
      <x:c r="B143" t="str">
        <x:v>Monday</x:v>
      </x:c>
      <x:c r="C143" s="20" t="str">
        <x:v>Ordinary Time</x:v>
      </x:c>
      <x:c r="D143" t="str">
        <x:v>Weekday in Ordinary Time</x:v>
      </x:c>
      <x:c r="E143" t="str">
        <x:v>Weekday</x:v>
      </x:c>
      <x:c r="F143" s="14" t="str">
        <x:v>Saint Paulinus of Nola; Saints John Fisher and Thomas More [Optional Memorial]</x:v>
      </x:c>
      <x:c r="G143" s="14" t="str">
        <x:v>✦</x:v>
      </x:c>
      <x:c r="H143" s="14" t="str"/>
      <x:c r="I143" s="14" t="str"/>
      <x:c r="J143" s="14" t="str"/>
      <x:c r="K143" s="14" t="str"/>
      <x:c r="L143" s="14" t="str"/>
      <x:c r="M143" s="14" t="str"/>
      <x:c r="N143" s="14" t="str">
        <x:v>https://www.usccb.org/resources/2026cal.pdf</x:v>
      </x:c>
      <x:c r="O143" s="115" t="e">
        <x:f>HYPERLINK("https://bible.usccb.org/bible/readings/062226.cfm","USCCB readings ↗")</x:f>
        <x:v>HYPERLINK is not implemented. linkLocation=https://bible.usccb.org/bible/readings/062226.cfm, friendlyName=USCCB readings ↗</x:v>
      </x:c>
    </x:row>
    <x:row r="144">
      <x:c r="A144" s="38" t="n">
        <x:v>46197</x:v>
      </x:c>
      <x:c r="B144" t="str">
        <x:v>Wednesday</x:v>
      </x:c>
      <x:c r="C144" s="20" t="str">
        <x:v>Ordinary Time</x:v>
      </x:c>
      <x:c r="D144" t="str">
        <x:v>Nativity of Saint John the Baptist</x:v>
      </x:c>
      <x:c r="E144" t="str">
        <x:v>Solemnity</x:v>
      </x:c>
      <x:c r="F144" s="14" t="str">
        <x:v>Nativity of Saint John the Baptist [Solemnity]</x:v>
      </x:c>
      <x:c r="G144" s="14" t="str">
        <x:v>★ ✦</x:v>
      </x:c>
      <x:c r="H144" s="14" t="str"/>
      <x:c r="I144" s="14" t="str"/>
      <x:c r="J144" s="14" t="str"/>
      <x:c r="K144" s="14" t="str"/>
      <x:c r="L144" s="14" t="str"/>
      <x:c r="M144" s="14" t="str"/>
      <x:c r="N144" s="14" t="str">
        <x:v>https://www.usccb.org/resources/2026cal.pdf</x:v>
      </x:c>
      <x:c r="O144" s="115" t="e">
        <x:f>HYPERLINK("https://bible.usccb.org/bible/readings/062426.cfm","USCCB readings ↗")</x:f>
        <x:v>HYPERLINK is not implemented. linkLocation=https://bible.usccb.org/bible/readings/062426.cfm, friendlyName=USCCB readings ↗</x:v>
      </x:c>
    </x:row>
    <x:row r="145">
      <x:c r="A145" s="38" t="n">
        <x:v>46199</x:v>
      </x:c>
      <x:c r="B145" t="str">
        <x:v>Friday</x:v>
      </x:c>
      <x:c r="C145" s="20" t="str">
        <x:v>Ordinary Time</x:v>
      </x:c>
      <x:c r="D145" t="str">
        <x:v>Weekday in Ordinary Time</x:v>
      </x:c>
      <x:c r="E145" t="str">
        <x:v>Weekday</x:v>
      </x:c>
      <x:c r="F145" s="14" t="str"/>
      <x:c r="G145" s="14" t="str">
        <x:v>Ⓟ</x:v>
      </x:c>
      <x:c r="H145" s="14" t="str"/>
      <x:c r="I145" s="14" t="str"/>
      <x:c r="J145" s="82" t="str">
        <x:v>Friday penance — outside Lent, U.S. Catholics may choose an appropriate penitential practice</x:v>
      </x:c>
      <x:c r="K145" s="14" t="str"/>
      <x:c r="L145" s="14" t="str"/>
      <x:c r="M145" s="14" t="str"/>
      <x:c r="N145" s="14" t="str">
        <x:v>https://www.usccb.org/resources/2026cal.pdf
https://www.usccb.org/prayer-and-worship/liturgical-year-and-calendar/lent/catholic-information-on-lenten-fast-and-abstinence</x:v>
      </x:c>
      <x:c r="O145" s="115" t="e">
        <x:f>HYPERLINK("https://bible.usccb.org/bible/readings/062626.cfm","USCCB readings ↗")</x:f>
        <x:v>HYPERLINK is not implemented. linkLocation=https://bible.usccb.org/bible/readings/062626.cfm, friendlyName=USCCB readings ↗</x:v>
      </x:c>
    </x:row>
    <x:row r="146">
      <x:c r="A146" s="38" t="n">
        <x:v>46200</x:v>
      </x:c>
      <x:c r="B146" t="str">
        <x:v>Saturday</x:v>
      </x:c>
      <x:c r="C146" s="20" t="str">
        <x:v>Ordinary Time</x:v>
      </x:c>
      <x:c r="D146" t="str">
        <x:v>Weekday in Ordinary Time</x:v>
      </x:c>
      <x:c r="E146" t="str">
        <x:v>Weekday</x:v>
      </x:c>
      <x:c r="F146" s="14" t="str">
        <x:v>Saint Cyril of Alexandria [Optional Memorial]</x:v>
      </x:c>
      <x:c r="G146" s="14" t="str">
        <x:v>✦</x:v>
      </x:c>
      <x:c r="H146" s="14" t="str"/>
      <x:c r="I146" s="14" t="str"/>
      <x:c r="J146" s="14" t="str"/>
      <x:c r="K146" s="14" t="str"/>
      <x:c r="L146" s="14" t="str"/>
      <x:c r="M146" s="14" t="str"/>
      <x:c r="N146" s="14" t="str">
        <x:v>https://www.usccb.org/resources/2026cal.pdf</x:v>
      </x:c>
      <x:c r="O146" s="115" t="e">
        <x:f>HYPERLINK("https://bible.usccb.org/bible/readings/062726.cfm","USCCB readings ↗")</x:f>
        <x:v>HYPERLINK is not implemented. linkLocation=https://bible.usccb.org/bible/readings/062726.cfm, friendlyName=USCCB readings ↗</x:v>
      </x:c>
    </x:row>
    <x:row r="147">
      <x:c r="A147" s="38" t="n">
        <x:v>46201</x:v>
      </x:c>
      <x:c r="B147" t="str">
        <x:v>Sunday</x:v>
      </x:c>
      <x:c r="C147" s="20" t="str">
        <x:v>Ordinary Time</x:v>
      </x:c>
      <x:c r="D147" t="str">
        <x:v>Thirteenth Sunday in Ordinary Time</x:v>
      </x:c>
      <x:c r="E147" t="str">
        <x:v>Sunday</x:v>
      </x:c>
      <x:c r="F147" s="14" t="str">
        <x:v>Saint Irenaeus [Memorial]</x:v>
      </x:c>
      <x:c r="G147" s="14" t="str">
        <x:v>✦ ⛪</x:v>
      </x:c>
      <x:c r="H147" s="78" t="str">
        <x:v>⛪ Sunday Mass obligation</x:v>
      </x:c>
      <x:c r="I147" s="14" t="str"/>
      <x:c r="J147" s="14" t="str"/>
      <x:c r="K147" s="14" t="str"/>
      <x:c r="L147" s="14" t="str"/>
      <x:c r="M147" s="14" t="str">
        <x:v>A fixed observance also falls today, but the Sunday or higher-ranking celebration takes liturgical precedence.</x:v>
      </x:c>
      <x:c r="N147" s="14" t="str">
        <x:v>https://www.usccb.org/resources/2026cal.pdf
https://www.usccb.org/beliefs-and-teachings/what-we-believe/canon-law/complementary-norms/canon-1246</x:v>
      </x:c>
      <x:c r="O147" s="115" t="e">
        <x:f>HYPERLINK("https://bible.usccb.org/bible/readings/062826.cfm","USCCB readings ↗")</x:f>
        <x:v>HYPERLINK is not implemented. linkLocation=https://bible.usccb.org/bible/readings/062826.cfm, friendlyName=USCCB readings ↗</x:v>
      </x:c>
    </x:row>
    <x:row r="148">
      <x:c r="A148" s="38" t="n">
        <x:v>46202</x:v>
      </x:c>
      <x:c r="B148" t="str">
        <x:v>Monday</x:v>
      </x:c>
      <x:c r="C148" s="20" t="str">
        <x:v>Ordinary Time</x:v>
      </x:c>
      <x:c r="D148" t="str">
        <x:v>Saints Peter and Paul, Apostles</x:v>
      </x:c>
      <x:c r="E148" t="str">
        <x:v>Solemnity</x:v>
      </x:c>
      <x:c r="F148" s="14" t="str">
        <x:v>Saints Peter and Paul, Apostles [Solemnity]</x:v>
      </x:c>
      <x:c r="G148" s="14" t="str">
        <x:v>★ ✦ 🕯</x:v>
      </x:c>
      <x:c r="H148" s="14" t="str"/>
      <x:c r="I148" s="14" t="str"/>
      <x:c r="J148" s="14" t="str"/>
      <x:c r="K148" s="84" t="str">
        <x:v>🕯 Franciscan summer Lent — historical Franciscan practice</x:v>
      </x:c>
      <x:c r="L148" s="14" t="str"/>
      <x:c r="M148" s="14" t="str"/>
      <x:c r="N148" s="14" t="str">
        <x:v>https://www.usccb.org/resources/2026cal.pdf
https://www.franciscantradition.org/blog/the-five-lents-of-francis-vjkyuy/</x:v>
      </x:c>
      <x:c r="O148" s="115" t="e">
        <x:f>HYPERLINK("https://bible.usccb.org/bible/readings/062926.cfm","USCCB readings ↗")</x:f>
        <x:v>HYPERLINK is not implemented. linkLocation=https://bible.usccb.org/bible/readings/062926.cfm, friendlyName=USCCB readings ↗</x:v>
      </x:c>
    </x:row>
    <x:row r="149">
      <x:c r="A149" s="38" t="n">
        <x:v>46203</x:v>
      </x:c>
      <x:c r="B149" t="str">
        <x:v>Tuesday</x:v>
      </x:c>
      <x:c r="C149" s="20" t="str">
        <x:v>Ordinary Time</x:v>
      </x:c>
      <x:c r="D149" t="str">
        <x:v>Weekday in Ordinary Time</x:v>
      </x:c>
      <x:c r="E149" t="str">
        <x:v>Weekday</x:v>
      </x:c>
      <x:c r="F149" s="14" t="str">
        <x:v>First Martyrs of the Holy Roman Church [Optional Memorial]</x:v>
      </x:c>
      <x:c r="G149" s="14" t="str">
        <x:v>✦ 🕯</x:v>
      </x:c>
      <x:c r="H149" s="14" t="str"/>
      <x:c r="I149" s="14" t="str"/>
      <x:c r="J149" s="14" t="str"/>
      <x:c r="K149" s="84" t="str">
        <x:v>🕯 Franciscan summer Lent — historical Franciscan practice</x:v>
      </x:c>
      <x:c r="L149" s="14" t="str"/>
      <x:c r="M149" s="14" t="str"/>
      <x:c r="N149" s="14" t="str">
        <x:v>https://www.usccb.org/resources/2026cal.pdf
https://www.franciscantradition.org/blog/the-five-lents-of-francis-vjkyuy/</x:v>
      </x:c>
      <x:c r="O149" s="115" t="e">
        <x:f>HYPERLINK("https://bible.usccb.org/bible/readings/063026.cfm","USCCB readings ↗")</x:f>
        <x:v>HYPERLINK is not implemented. linkLocation=https://bible.usccb.org/bible/readings/063026.cfm, friendlyName=USCCB readings ↗</x:v>
      </x:c>
    </x:row>
    <x:row r="150">
      <x:c r="A150" s="38" t="n">
        <x:v>46204</x:v>
      </x:c>
      <x:c r="B150" t="str">
        <x:v>Wednesday</x:v>
      </x:c>
      <x:c r="C150" s="20" t="str">
        <x:v>Ordinary Time</x:v>
      </x:c>
      <x:c r="D150" t="str">
        <x:v>Weekday in Ordinary Time</x:v>
      </x:c>
      <x:c r="E150" t="str">
        <x:v>Weekday</x:v>
      </x:c>
      <x:c r="F150" s="14" t="str">
        <x:v>Saint Junípero Serra [Optional Memorial]</x:v>
      </x:c>
      <x:c r="G150" s="14" t="str">
        <x:v>✦ 🕯</x:v>
      </x:c>
      <x:c r="H150" s="14" t="str"/>
      <x:c r="I150" s="14" t="str"/>
      <x:c r="J150" s="14" t="str"/>
      <x:c r="K150" s="84" t="str">
        <x:v>🕯 Franciscan summer Lent — historical Franciscan practice</x:v>
      </x:c>
      <x:c r="L150" s="14" t="str"/>
      <x:c r="M150" s="14" t="str"/>
      <x:c r="N150" s="14" t="str">
        <x:v>https://www.usccb.org/resources/2026cal.pdf
https://www.franciscantradition.org/blog/the-five-lents-of-francis-vjkyuy/</x:v>
      </x:c>
      <x:c r="O150" s="115" t="e">
        <x:f>HYPERLINK("https://bible.usccb.org/bible/readings/070126.cfm","USCCB readings ↗")</x:f>
        <x:v>HYPERLINK is not implemented. linkLocation=https://bible.usccb.org/bible/readings/070126.cfm, friendlyName=USCCB readings ↗</x:v>
      </x:c>
    </x:row>
    <x:row r="151">
      <x:c r="A151" s="38" t="n">
        <x:v>46205</x:v>
      </x:c>
      <x:c r="B151" t="str">
        <x:v>Thursday</x:v>
      </x:c>
      <x:c r="C151" s="20" t="str">
        <x:v>Ordinary Time</x:v>
      </x:c>
      <x:c r="D151" t="str">
        <x:v>Weekday in Ordinary Time</x:v>
      </x:c>
      <x:c r="E151" t="str">
        <x:v>Weekday</x:v>
      </x:c>
      <x:c r="F151" s="14" t="str"/>
      <x:c r="G151" s="14" t="str">
        <x:v>🕯</x:v>
      </x:c>
      <x:c r="H151" s="14" t="str"/>
      <x:c r="I151" s="14" t="str"/>
      <x:c r="J151" s="14" t="str"/>
      <x:c r="K151" s="84" t="str">
        <x:v>🕯 Franciscan summer Lent — historical Franciscan practice</x:v>
      </x:c>
      <x:c r="L151" s="14" t="str"/>
      <x:c r="M151" s="14" t="str"/>
      <x:c r="N151" s="14" t="str">
        <x:v>https://www.usccb.org/resources/2026cal.pdf
https://www.franciscantradition.org/blog/the-five-lents-of-francis-vjkyuy/</x:v>
      </x:c>
      <x:c r="O151" s="115" t="e">
        <x:f>HYPERLINK("https://bible.usccb.org/bible/readings/070226.cfm","USCCB readings ↗")</x:f>
        <x:v>HYPERLINK is not implemented. linkLocation=https://bible.usccb.org/bible/readings/070226.cfm, friendlyName=USCCB readings ↗</x:v>
      </x:c>
    </x:row>
    <x:row r="152">
      <x:c r="A152" s="38" t="n">
        <x:v>46206</x:v>
      </x:c>
      <x:c r="B152" t="str">
        <x:v>Friday</x:v>
      </x:c>
      <x:c r="C152" s="20" t="str">
        <x:v>Ordinary Time</x:v>
      </x:c>
      <x:c r="D152" t="str">
        <x:v>Saint Thomas, Apostle</x:v>
      </x:c>
      <x:c r="E152" t="str">
        <x:v>Feast</x:v>
      </x:c>
      <x:c r="F152" s="14" t="str">
        <x:v>Saint Thomas, Apostle [Feast]</x:v>
      </x:c>
      <x:c r="G152" s="14" t="str">
        <x:v>★ ✦ 🙏 Ⓟ 🕯</x:v>
      </x:c>
      <x:c r="H152" s="14" t="str"/>
      <x:c r="I152" s="80" t="str">
        <x:v>❤ First Friday — Sacred Heart devotion</x:v>
      </x:c>
      <x:c r="J152" s="82" t="str">
        <x:v>Friday penance — outside Lent, U.S. Catholics may choose an appropriate penitential practice</x:v>
      </x:c>
      <x:c r="K152" s="84" t="str">
        <x:v>🕯 Franciscan summer Lent — historical Franciscan practice</x:v>
      </x:c>
      <x:c r="L152" s="14" t="str"/>
      <x:c r="M152" s="14" t="str"/>
      <x:c r="N152" s="14" t="str">
        <x:v>https://www.usccb.org/resources/2026cal.pdf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152" s="115" t="e">
        <x:f>HYPERLINK("https://bible.usccb.org/bible/readings/070326.cfm","USCCB readings ↗")</x:f>
        <x:v>HYPERLINK is not implemented. linkLocation=https://bible.usccb.org/bible/readings/070326.cfm, friendlyName=USCCB readings ↗</x:v>
      </x:c>
    </x:row>
    <x:row r="153">
      <x:c r="A153" s="38" t="n">
        <x:v>46207</x:v>
      </x:c>
      <x:c r="B153" t="str">
        <x:v>Saturday</x:v>
      </x:c>
      <x:c r="C153" s="20" t="str">
        <x:v>Ordinary Time</x:v>
      </x:c>
      <x:c r="D153" t="str">
        <x:v>Weekday in Ordinary Time</x:v>
      </x:c>
      <x:c r="E153" t="str">
        <x:v>Weekday</x:v>
      </x:c>
      <x:c r="F153" s="76" t="str"/>
      <x:c r="G153" s="14" t="str">
        <x:v>🙏 🌹 🕯</x:v>
      </x:c>
      <x:c r="H153" s="14" t="str"/>
      <x:c r="I153" s="80" t="str">
        <x:v>🌹 First Saturday — Immaculate Heart devotion</x:v>
      </x:c>
      <x:c r="J153" s="14" t="str"/>
      <x:c r="K153" s="84" t="str">
        <x:v>🕯 Franciscan summer Lent — historical Franciscan practice</x:v>
      </x:c>
      <x:c r="L153" s="14" t="str"/>
      <x:c r="M153" s="14" t="str"/>
      <x:c r="N153" s="14" t="str">
        <x:v>https://www.usccb.org/resources/2026cal.pdf
https://www.ewtn.com/catholicism/library/revelation-of-the-immaculate-heart-at-fatima-in-1917-5465
https://www.franciscantradition.org/blog/the-five-lents-of-francis-vjkyuy/</x:v>
      </x:c>
      <x:c r="O153" s="115" t="e">
        <x:f>HYPERLINK("https://bible.usccb.org/bible/readings/070426.cfm","USCCB readings ↗")</x:f>
        <x:v>HYPERLINK is not implemented. linkLocation=https://bible.usccb.org/bible/readings/070426.cfm, friendlyName=USCCB readings ↗</x:v>
      </x:c>
    </x:row>
    <x:row r="154">
      <x:c r="A154" s="38" t="n">
        <x:v>46208</x:v>
      </x:c>
      <x:c r="B154" t="str">
        <x:v>Sunday</x:v>
      </x:c>
      <x:c r="C154" s="20" t="str">
        <x:v>Ordinary Time</x:v>
      </x:c>
      <x:c r="D154" t="str">
        <x:v>Fourteenth Sunday in Ordinary Time</x:v>
      </x:c>
      <x:c r="E154" t="str">
        <x:v>Sunday</x:v>
      </x:c>
      <x:c r="F154" s="14" t="str">
        <x:v>Saint Anthony Mary Zaccaria; Saint Elizabeth of Portugal [Optional Memorial]</x:v>
      </x:c>
      <x:c r="G154" s="14" t="str">
        <x:v>✦ ⛪ 🕯</x:v>
      </x:c>
      <x:c r="H154" s="78" t="str">
        <x:v>⛪ Sunday Mass obligation</x:v>
      </x:c>
      <x:c r="I154" s="14" t="str"/>
      <x:c r="J154" s="14" t="str"/>
      <x:c r="K154" s="84" t="str">
        <x:v>🕯 Franciscan summer Lent — historical Franciscan practice</x:v>
      </x:c>
      <x:c r="L154" s="14" t="str"/>
      <x:c r="M154" s="14" t="str">
        <x:v>A fixed observance also falls today, but the Sunday or higher-ranking celebration takes liturgical precedence.</x:v>
      </x:c>
      <x:c r="N154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54" s="115" t="e">
        <x:f>HYPERLINK("https://bible.usccb.org/bible/readings/070526.cfm","USCCB readings ↗")</x:f>
        <x:v>HYPERLINK is not implemented. linkLocation=https://bible.usccb.org/bible/readings/070526.cfm, friendlyName=USCCB readings ↗</x:v>
      </x:c>
    </x:row>
    <x:row r="155">
      <x:c r="A155" s="38" t="n">
        <x:v>46209</x:v>
      </x:c>
      <x:c r="B155" t="str">
        <x:v>Monday</x:v>
      </x:c>
      <x:c r="C155" s="20" t="str">
        <x:v>Ordinary Time</x:v>
      </x:c>
      <x:c r="D155" t="str">
        <x:v>Weekday in Ordinary Time</x:v>
      </x:c>
      <x:c r="E155" t="str">
        <x:v>Weekday</x:v>
      </x:c>
      <x:c r="F155" s="14" t="str">
        <x:v>Saint Maria Goretti [Optional Memorial]</x:v>
      </x:c>
      <x:c r="G155" s="14" t="str">
        <x:v>✦ 🕯</x:v>
      </x:c>
      <x:c r="H155" s="14" t="str"/>
      <x:c r="I155" s="14" t="str"/>
      <x:c r="J155" s="14" t="str"/>
      <x:c r="K155" s="84" t="str">
        <x:v>🕯 Franciscan summer Lent — historical Franciscan practice</x:v>
      </x:c>
      <x:c r="L155" s="14" t="str"/>
      <x:c r="M155" s="14" t="str"/>
      <x:c r="N155" s="14" t="str">
        <x:v>https://www.usccb.org/resources/2026cal.pdf
https://www.franciscantradition.org/blog/the-five-lents-of-francis-vjkyuy/</x:v>
      </x:c>
      <x:c r="O155" s="115" t="e">
        <x:f>HYPERLINK("https://bible.usccb.org/bible/readings/070626.cfm","USCCB readings ↗")</x:f>
        <x:v>HYPERLINK is not implemented. linkLocation=https://bible.usccb.org/bible/readings/070626.cfm, friendlyName=USCCB readings ↗</x:v>
      </x:c>
    </x:row>
    <x:row r="156">
      <x:c r="A156" s="38" t="n">
        <x:v>46210</x:v>
      </x:c>
      <x:c r="B156" t="str">
        <x:v>Tuesday</x:v>
      </x:c>
      <x:c r="C156" s="20" t="str">
        <x:v>Ordinary Time</x:v>
      </x:c>
      <x:c r="D156" t="str">
        <x:v>Weekday in Ordinary Time</x:v>
      </x:c>
      <x:c r="E156" t="str">
        <x:v>Weekday</x:v>
      </x:c>
      <x:c r="F156" s="14" t="str"/>
      <x:c r="G156" s="14" t="str">
        <x:v>🕯</x:v>
      </x:c>
      <x:c r="H156" s="14" t="str"/>
      <x:c r="I156" s="14" t="str"/>
      <x:c r="J156" s="14" t="str"/>
      <x:c r="K156" s="84" t="str">
        <x:v>🕯 Franciscan summer Lent — historical Franciscan practice</x:v>
      </x:c>
      <x:c r="L156" s="14" t="str"/>
      <x:c r="M156" s="14" t="str"/>
      <x:c r="N156" s="14" t="str">
        <x:v>https://www.usccb.org/resources/2026cal.pdf
https://www.franciscantradition.org/blog/the-five-lents-of-francis-vjkyuy/</x:v>
      </x:c>
      <x:c r="O156" s="115" t="e">
        <x:f>HYPERLINK("https://bible.usccb.org/bible/readings/070726.cfm","USCCB readings ↗")</x:f>
        <x:v>HYPERLINK is not implemented. linkLocation=https://bible.usccb.org/bible/readings/070726.cfm, friendlyName=USCCB readings ↗</x:v>
      </x:c>
    </x:row>
    <x:row r="157">
      <x:c r="A157" s="38" t="n">
        <x:v>46211</x:v>
      </x:c>
      <x:c r="B157" t="str">
        <x:v>Wednesday</x:v>
      </x:c>
      <x:c r="C157" s="20" t="str">
        <x:v>Ordinary Time</x:v>
      </x:c>
      <x:c r="D157" t="str">
        <x:v>Weekday in Ordinary Time</x:v>
      </x:c>
      <x:c r="E157" t="str">
        <x:v>Weekday</x:v>
      </x:c>
      <x:c r="F157" s="14" t="str"/>
      <x:c r="G157" s="14" t="str">
        <x:v>🕯</x:v>
      </x:c>
      <x:c r="H157" s="14" t="str"/>
      <x:c r="I157" s="14" t="str"/>
      <x:c r="J157" s="14" t="str"/>
      <x:c r="K157" s="84" t="str">
        <x:v>🕯 Franciscan summer Lent — historical Franciscan practice</x:v>
      </x:c>
      <x:c r="L157" s="14" t="str"/>
      <x:c r="M157" s="14" t="str"/>
      <x:c r="N157" s="14" t="str">
        <x:v>https://www.usccb.org/resources/2026cal.pdf
https://www.franciscantradition.org/blog/the-five-lents-of-francis-vjkyuy/</x:v>
      </x:c>
      <x:c r="O157" s="115" t="e">
        <x:f>HYPERLINK("https://bible.usccb.org/bible/readings/070826.cfm","USCCB readings ↗")</x:f>
        <x:v>HYPERLINK is not implemented. linkLocation=https://bible.usccb.org/bible/readings/070826.cfm, friendlyName=USCCB readings ↗</x:v>
      </x:c>
    </x:row>
    <x:row r="158">
      <x:c r="A158" s="38" t="n">
        <x:v>46212</x:v>
      </x:c>
      <x:c r="B158" t="str">
        <x:v>Thursday</x:v>
      </x:c>
      <x:c r="C158" s="20" t="str">
        <x:v>Ordinary Time</x:v>
      </x:c>
      <x:c r="D158" t="str">
        <x:v>Weekday in Ordinary Time</x:v>
      </x:c>
      <x:c r="E158" t="str">
        <x:v>Weekday</x:v>
      </x:c>
      <x:c r="F158" s="14" t="str">
        <x:v>Saint Augustine Zhao Rong and Companions [Optional Memorial]</x:v>
      </x:c>
      <x:c r="G158" s="14" t="str">
        <x:v>✦ 🕯</x:v>
      </x:c>
      <x:c r="H158" s="14" t="str"/>
      <x:c r="I158" s="14" t="str"/>
      <x:c r="J158" s="14" t="str"/>
      <x:c r="K158" s="84" t="str">
        <x:v>🕯 Franciscan summer Lent — historical Franciscan practice</x:v>
      </x:c>
      <x:c r="L158" s="14" t="str"/>
      <x:c r="M158" s="14" t="str"/>
      <x:c r="N158" s="14" t="str">
        <x:v>https://www.usccb.org/resources/2026cal.pdf
https://www.franciscantradition.org/blog/the-five-lents-of-francis-vjkyuy/</x:v>
      </x:c>
      <x:c r="O158" s="115" t="e">
        <x:f>HYPERLINK("https://bible.usccb.org/bible/readings/070926.cfm","USCCB readings ↗")</x:f>
        <x:v>HYPERLINK is not implemented. linkLocation=https://bible.usccb.org/bible/readings/070926.cfm, friendlyName=USCCB readings ↗</x:v>
      </x:c>
    </x:row>
    <x:row r="159">
      <x:c r="A159" s="38" t="n">
        <x:v>46213</x:v>
      </x:c>
      <x:c r="B159" t="str">
        <x:v>Friday</x:v>
      </x:c>
      <x:c r="C159" s="20" t="str">
        <x:v>Ordinary Time</x:v>
      </x:c>
      <x:c r="D159" t="str">
        <x:v>Weekday in Ordinary Time</x:v>
      </x:c>
      <x:c r="E159" t="str">
        <x:v>Weekday</x:v>
      </x:c>
      <x:c r="F159" s="14" t="str"/>
      <x:c r="G159" s="14" t="str">
        <x:v>Ⓟ 🕯</x:v>
      </x:c>
      <x:c r="H159" s="14" t="str"/>
      <x:c r="I159" s="14" t="str"/>
      <x:c r="J159" s="82" t="str">
        <x:v>Friday penance — outside Lent, U.S. Catholics may choose an appropriate penitential practice</x:v>
      </x:c>
      <x:c r="K159" s="84" t="str">
        <x:v>🕯 Franciscan summer Lent — historical Franciscan practice</x:v>
      </x:c>
      <x:c r="L159" s="14" t="str"/>
      <x:c r="M159" s="14" t="str"/>
      <x:c r="N159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59" s="115" t="e">
        <x:f>HYPERLINK("https://bible.usccb.org/bible/readings/071026.cfm","USCCB readings ↗")</x:f>
        <x:v>HYPERLINK is not implemented. linkLocation=https://bible.usccb.org/bible/readings/071026.cfm, friendlyName=USCCB readings ↗</x:v>
      </x:c>
    </x:row>
    <x:row r="160">
      <x:c r="A160" s="38" t="n">
        <x:v>46214</x:v>
      </x:c>
      <x:c r="B160" t="str">
        <x:v>Saturday</x:v>
      </x:c>
      <x:c r="C160" s="20" t="str">
        <x:v>Ordinary Time</x:v>
      </x:c>
      <x:c r="D160" t="str">
        <x:v>Saint Benedict</x:v>
      </x:c>
      <x:c r="E160" t="str">
        <x:v>Memorial</x:v>
      </x:c>
      <x:c r="F160" s="14" t="str">
        <x:v>Saint Benedict [Memorial]</x:v>
      </x:c>
      <x:c r="G160" s="14" t="str">
        <x:v>✦ 🕯</x:v>
      </x:c>
      <x:c r="H160" s="14" t="str"/>
      <x:c r="I160" s="14" t="str"/>
      <x:c r="J160" s="14" t="str"/>
      <x:c r="K160" s="84" t="str">
        <x:v>🕯 Franciscan summer Lent — historical Franciscan practice</x:v>
      </x:c>
      <x:c r="L160" s="14" t="str"/>
      <x:c r="M160" s="14" t="str"/>
      <x:c r="N160" s="14" t="str">
        <x:v>https://www.usccb.org/resources/2026cal.pdf
https://www.franciscantradition.org/blog/the-five-lents-of-francis-vjkyuy/</x:v>
      </x:c>
      <x:c r="O160" s="115" t="e">
        <x:f>HYPERLINK("https://bible.usccb.org/bible/readings/071126.cfm","USCCB readings ↗")</x:f>
        <x:v>HYPERLINK is not implemented. linkLocation=https://bible.usccb.org/bible/readings/071126.cfm, friendlyName=USCCB readings ↗</x:v>
      </x:c>
    </x:row>
    <x:row r="161">
      <x:c r="A161" s="38" t="n">
        <x:v>46215</x:v>
      </x:c>
      <x:c r="B161" t="str">
        <x:v>Sunday</x:v>
      </x:c>
      <x:c r="C161" s="20" t="str">
        <x:v>Ordinary Time</x:v>
      </x:c>
      <x:c r="D161" t="str">
        <x:v>Fifteenth Sunday in Ordinary Time</x:v>
      </x:c>
      <x:c r="E161" t="str">
        <x:v>Sunday</x:v>
      </x:c>
      <x:c r="F161" s="14" t="str"/>
      <x:c r="G161" s="14" t="str">
        <x:v>⛪ 🕯</x:v>
      </x:c>
      <x:c r="H161" s="78" t="str">
        <x:v>⛪ Sunday Mass obligation</x:v>
      </x:c>
      <x:c r="I161" s="14" t="str"/>
      <x:c r="J161" s="14" t="str"/>
      <x:c r="K161" s="84" t="str">
        <x:v>🕯 Franciscan summer Lent — historical Franciscan practice</x:v>
      </x:c>
      <x:c r="L161" s="14" t="str"/>
      <x:c r="M161" s="14" t="str"/>
      <x:c r="N161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61" s="115" t="e">
        <x:f>HYPERLINK("https://bible.usccb.org/bible/readings/071226.cfm","USCCB readings ↗")</x:f>
        <x:v>HYPERLINK is not implemented. linkLocation=https://bible.usccb.org/bible/readings/071226.cfm, friendlyName=USCCB readings ↗</x:v>
      </x:c>
    </x:row>
    <x:row r="162">
      <x:c r="A162" s="38" t="n">
        <x:v>46216</x:v>
      </x:c>
      <x:c r="B162" t="str">
        <x:v>Monday</x:v>
      </x:c>
      <x:c r="C162" s="20" t="str">
        <x:v>Ordinary Time</x:v>
      </x:c>
      <x:c r="D162" t="str">
        <x:v>Weekday in Ordinary Time</x:v>
      </x:c>
      <x:c r="E162" t="str">
        <x:v>Weekday</x:v>
      </x:c>
      <x:c r="F162" s="14" t="str">
        <x:v>Saint Henry [Optional Memorial]</x:v>
      </x:c>
      <x:c r="G162" s="14" t="str">
        <x:v>✦ 🕯</x:v>
      </x:c>
      <x:c r="H162" s="14" t="str"/>
      <x:c r="I162" s="14" t="str"/>
      <x:c r="J162" s="14" t="str"/>
      <x:c r="K162" s="84" t="str">
        <x:v>🕯 Franciscan summer Lent — historical Franciscan practice</x:v>
      </x:c>
      <x:c r="L162" s="14" t="str"/>
      <x:c r="M162" s="14" t="str"/>
      <x:c r="N162" s="14" t="str">
        <x:v>https://www.usccb.org/resources/2026cal.pdf
https://www.franciscantradition.org/blog/the-five-lents-of-francis-vjkyuy/</x:v>
      </x:c>
      <x:c r="O162" s="115" t="e">
        <x:f>HYPERLINK("https://bible.usccb.org/bible/readings/071326.cfm","USCCB readings ↗")</x:f>
        <x:v>HYPERLINK is not implemented. linkLocation=https://bible.usccb.org/bible/readings/071326.cfm, friendlyName=USCCB readings ↗</x:v>
      </x:c>
    </x:row>
    <x:row r="163">
      <x:c r="A163" s="38" t="n">
        <x:v>46217</x:v>
      </x:c>
      <x:c r="B163" t="str">
        <x:v>Tuesday</x:v>
      </x:c>
      <x:c r="C163" s="20" t="str">
        <x:v>Ordinary Time</x:v>
      </x:c>
      <x:c r="D163" t="str">
        <x:v>Saint Kateri Tekakwitha</x:v>
      </x:c>
      <x:c r="E163" t="str">
        <x:v>Memorial</x:v>
      </x:c>
      <x:c r="F163" s="14" t="str">
        <x:v>Saint Kateri Tekakwitha [Memorial]</x:v>
      </x:c>
      <x:c r="G163" s="14" t="str">
        <x:v>✦ 🕯</x:v>
      </x:c>
      <x:c r="H163" s="14" t="str"/>
      <x:c r="I163" s="14" t="str"/>
      <x:c r="J163" s="14" t="str"/>
      <x:c r="K163" s="84" t="str">
        <x:v>🕯 Franciscan summer Lent — historical Franciscan practice</x:v>
      </x:c>
      <x:c r="L163" s="14" t="str"/>
      <x:c r="M163" s="14" t="str"/>
      <x:c r="N163" s="14" t="str">
        <x:v>https://www.usccb.org/resources/2026cal.pdf
https://www.franciscantradition.org/blog/the-five-lents-of-francis-vjkyuy/</x:v>
      </x:c>
      <x:c r="O163" s="115" t="e">
        <x:f>HYPERLINK("https://bible.usccb.org/bible/readings/071426.cfm","USCCB readings ↗")</x:f>
        <x:v>HYPERLINK is not implemented. linkLocation=https://bible.usccb.org/bible/readings/071426.cfm, friendlyName=USCCB readings ↗</x:v>
      </x:c>
    </x:row>
    <x:row r="164">
      <x:c r="A164" s="38" t="n">
        <x:v>46218</x:v>
      </x:c>
      <x:c r="B164" t="str">
        <x:v>Wednesday</x:v>
      </x:c>
      <x:c r="C164" s="20" t="str">
        <x:v>Ordinary Time</x:v>
      </x:c>
      <x:c r="D164" t="str">
        <x:v>Saint Bonaventure</x:v>
      </x:c>
      <x:c r="E164" t="str">
        <x:v>Memorial</x:v>
      </x:c>
      <x:c r="F164" s="14" t="str">
        <x:v>Saint Bonaventure [Memorial]</x:v>
      </x:c>
      <x:c r="G164" s="14" t="str">
        <x:v>✦ 🕯</x:v>
      </x:c>
      <x:c r="H164" s="14" t="str"/>
      <x:c r="I164" s="14" t="str"/>
      <x:c r="J164" s="14" t="str"/>
      <x:c r="K164" s="84" t="str">
        <x:v>🕯 Franciscan summer Lent — historical Franciscan practice</x:v>
      </x:c>
      <x:c r="L164" s="14" t="str"/>
      <x:c r="M164" s="14" t="str"/>
      <x:c r="N164" s="14" t="str">
        <x:v>https://www.usccb.org/resources/2026cal.pdf
https://www.franciscantradition.org/blog/the-five-lents-of-francis-vjkyuy/</x:v>
      </x:c>
      <x:c r="O164" s="115" t="e">
        <x:f>HYPERLINK("https://bible.usccb.org/bible/readings/071526.cfm","USCCB readings ↗")</x:f>
        <x:v>HYPERLINK is not implemented. linkLocation=https://bible.usccb.org/bible/readings/071526.cfm, friendlyName=USCCB readings ↗</x:v>
      </x:c>
    </x:row>
    <x:row r="165">
      <x:c r="A165" s="38" t="n">
        <x:v>46219</x:v>
      </x:c>
      <x:c r="B165" t="str">
        <x:v>Thursday</x:v>
      </x:c>
      <x:c r="C165" s="20" t="str">
        <x:v>Ordinary Time</x:v>
      </x:c>
      <x:c r="D165" t="str">
        <x:v>Weekday in Ordinary Time</x:v>
      </x:c>
      <x:c r="E165" t="str">
        <x:v>Weekday</x:v>
      </x:c>
      <x:c r="F165" s="76" t="str">
        <x:v>Our Lady of Mount Carmel [Optional Memorial]</x:v>
      </x:c>
      <x:c r="G165" s="14" t="str">
        <x:v>🌹 🕯</x:v>
      </x:c>
      <x:c r="H165" s="14" t="str"/>
      <x:c r="I165" s="14" t="str"/>
      <x:c r="J165" s="14" t="str"/>
      <x:c r="K165" s="84" t="str">
        <x:v>🕯 Franciscan summer Lent — historical Franciscan practice</x:v>
      </x:c>
      <x:c r="L165" s="14" t="str"/>
      <x:c r="M165" s="14" t="str"/>
      <x:c r="N165" s="14" t="str">
        <x:v>https://www.usccb.org/resources/2026cal.pdf
https://www.franciscantradition.org/blog/the-five-lents-of-francis-vjkyuy/</x:v>
      </x:c>
      <x:c r="O165" s="115" t="e">
        <x:f>HYPERLINK("https://bible.usccb.org/bible/readings/071626.cfm","USCCB readings ↗")</x:f>
        <x:v>HYPERLINK is not implemented. linkLocation=https://bible.usccb.org/bible/readings/071626.cfm, friendlyName=USCCB readings ↗</x:v>
      </x:c>
    </x:row>
    <x:row r="166">
      <x:c r="A166" s="38" t="n">
        <x:v>46220</x:v>
      </x:c>
      <x:c r="B166" t="str">
        <x:v>Friday</x:v>
      </x:c>
      <x:c r="C166" s="20" t="str">
        <x:v>Ordinary Time</x:v>
      </x:c>
      <x:c r="D166" t="str">
        <x:v>Weekday in Ordinary Time</x:v>
      </x:c>
      <x:c r="E166" t="str">
        <x:v>Weekday</x:v>
      </x:c>
      <x:c r="F166" s="14" t="str"/>
      <x:c r="G166" s="14" t="str">
        <x:v>Ⓟ 🕯</x:v>
      </x:c>
      <x:c r="H166" s="14" t="str"/>
      <x:c r="I166" s="14" t="str"/>
      <x:c r="J166" s="82" t="str">
        <x:v>Friday penance — outside Lent, U.S. Catholics may choose an appropriate penitential practice</x:v>
      </x:c>
      <x:c r="K166" s="84" t="str">
        <x:v>🕯 Franciscan summer Lent — historical Franciscan practice</x:v>
      </x:c>
      <x:c r="L166" s="14" t="str"/>
      <x:c r="M166" s="14" t="str"/>
      <x:c r="N166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66" s="115" t="e">
        <x:f>HYPERLINK("https://bible.usccb.org/bible/readings/071726.cfm","USCCB readings ↗")</x:f>
        <x:v>HYPERLINK is not implemented. linkLocation=https://bible.usccb.org/bible/readings/071726.cfm, friendlyName=USCCB readings ↗</x:v>
      </x:c>
    </x:row>
    <x:row r="167">
      <x:c r="A167" s="38" t="n">
        <x:v>46221</x:v>
      </x:c>
      <x:c r="B167" t="str">
        <x:v>Saturday</x:v>
      </x:c>
      <x:c r="C167" s="20" t="str">
        <x:v>Ordinary Time</x:v>
      </x:c>
      <x:c r="D167" t="str">
        <x:v>Weekday in Ordinary Time</x:v>
      </x:c>
      <x:c r="E167" t="str">
        <x:v>Weekday</x:v>
      </x:c>
      <x:c r="F167" s="14" t="str">
        <x:v>Saint Camillus de Lellis [Optional Memorial]</x:v>
      </x:c>
      <x:c r="G167" s="14" t="str">
        <x:v>✦ 🕯</x:v>
      </x:c>
      <x:c r="H167" s="14" t="str"/>
      <x:c r="I167" s="14" t="str"/>
      <x:c r="J167" s="14" t="str"/>
      <x:c r="K167" s="84" t="str">
        <x:v>🕯 Franciscan summer Lent — historical Franciscan practice</x:v>
      </x:c>
      <x:c r="L167" s="14" t="str"/>
      <x:c r="M167" s="14" t="str"/>
      <x:c r="N167" s="14" t="str">
        <x:v>https://www.usccb.org/resources/2026cal.pdf
https://www.franciscantradition.org/blog/the-five-lents-of-francis-vjkyuy/</x:v>
      </x:c>
      <x:c r="O167" s="115" t="e">
        <x:f>HYPERLINK("https://bible.usccb.org/bible/readings/071826.cfm","USCCB readings ↗")</x:f>
        <x:v>HYPERLINK is not implemented. linkLocation=https://bible.usccb.org/bible/readings/071826.cfm, friendlyName=USCCB readings ↗</x:v>
      </x:c>
    </x:row>
    <x:row r="168">
      <x:c r="A168" s="38" t="n">
        <x:v>46222</x:v>
      </x:c>
      <x:c r="B168" t="str">
        <x:v>Sunday</x:v>
      </x:c>
      <x:c r="C168" s="20" t="str">
        <x:v>Ordinary Time</x:v>
      </x:c>
      <x:c r="D168" t="str">
        <x:v>Sixteenth Sunday in Ordinary Time</x:v>
      </x:c>
      <x:c r="E168" t="str">
        <x:v>Sunday</x:v>
      </x:c>
      <x:c r="F168" s="14" t="str"/>
      <x:c r="G168" s="14" t="str">
        <x:v>⛪ 🕯</x:v>
      </x:c>
      <x:c r="H168" s="78" t="str">
        <x:v>⛪ Sunday Mass obligation</x:v>
      </x:c>
      <x:c r="I168" s="14" t="str"/>
      <x:c r="J168" s="14" t="str"/>
      <x:c r="K168" s="84" t="str">
        <x:v>🕯 Franciscan summer Lent — historical Franciscan practice</x:v>
      </x:c>
      <x:c r="L168" s="14" t="str"/>
      <x:c r="M168" s="14" t="str"/>
      <x:c r="N168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68" s="115" t="e">
        <x:f>HYPERLINK("https://bible.usccb.org/bible/readings/071926.cfm","USCCB readings ↗")</x:f>
        <x:v>HYPERLINK is not implemented. linkLocation=https://bible.usccb.org/bible/readings/071926.cfm, friendlyName=USCCB readings ↗</x:v>
      </x:c>
    </x:row>
    <x:row r="169">
      <x:c r="A169" s="38" t="n">
        <x:v>46223</x:v>
      </x:c>
      <x:c r="B169" t="str">
        <x:v>Monday</x:v>
      </x:c>
      <x:c r="C169" s="20" t="str">
        <x:v>Ordinary Time</x:v>
      </x:c>
      <x:c r="D169" t="str">
        <x:v>Weekday in Ordinary Time</x:v>
      </x:c>
      <x:c r="E169" t="str">
        <x:v>Weekday</x:v>
      </x:c>
      <x:c r="F169" s="14" t="str">
        <x:v>Saint Apollinaris [Optional Memorial]</x:v>
      </x:c>
      <x:c r="G169" s="14" t="str">
        <x:v>✦ 🕯</x:v>
      </x:c>
      <x:c r="H169" s="14" t="str"/>
      <x:c r="I169" s="14" t="str"/>
      <x:c r="J169" s="14" t="str"/>
      <x:c r="K169" s="84" t="str">
        <x:v>🕯 Franciscan summer Lent — historical Franciscan practice</x:v>
      </x:c>
      <x:c r="L169" s="14" t="str"/>
      <x:c r="M169" s="14" t="str"/>
      <x:c r="N169" s="14" t="str">
        <x:v>https://www.usccb.org/resources/2026cal.pdf
https://www.franciscantradition.org/blog/the-five-lents-of-francis-vjkyuy/</x:v>
      </x:c>
      <x:c r="O169" s="115" t="e">
        <x:f>HYPERLINK("https://bible.usccb.org/bible/readings/072026.cfm","USCCB readings ↗")</x:f>
        <x:v>HYPERLINK is not implemented. linkLocation=https://bible.usccb.org/bible/readings/072026.cfm, friendlyName=USCCB readings ↗</x:v>
      </x:c>
    </x:row>
    <x:row r="170">
      <x:c r="A170" s="38" t="n">
        <x:v>46224</x:v>
      </x:c>
      <x:c r="B170" t="str">
        <x:v>Tuesday</x:v>
      </x:c>
      <x:c r="C170" s="20" t="str">
        <x:v>Ordinary Time</x:v>
      </x:c>
      <x:c r="D170" t="str">
        <x:v>Weekday in Ordinary Time</x:v>
      </x:c>
      <x:c r="E170" t="str">
        <x:v>Weekday</x:v>
      </x:c>
      <x:c r="F170" s="14" t="str">
        <x:v>Saint Lawrence of Brindisi [Optional Memorial]</x:v>
      </x:c>
      <x:c r="G170" s="14" t="str">
        <x:v>✦ 🕯</x:v>
      </x:c>
      <x:c r="H170" s="14" t="str"/>
      <x:c r="I170" s="14" t="str"/>
      <x:c r="J170" s="14" t="str"/>
      <x:c r="K170" s="84" t="str">
        <x:v>🕯 Franciscan summer Lent — historical Franciscan practice</x:v>
      </x:c>
      <x:c r="L170" s="14" t="str"/>
      <x:c r="M170" s="14" t="str"/>
      <x:c r="N170" s="14" t="str">
        <x:v>https://www.usccb.org/resources/2026cal.pdf
https://www.franciscantradition.org/blog/the-five-lents-of-francis-vjkyuy/</x:v>
      </x:c>
      <x:c r="O170" s="115" t="e">
        <x:f>HYPERLINK("https://bible.usccb.org/bible/readings/072126.cfm","USCCB readings ↗")</x:f>
        <x:v>HYPERLINK is not implemented. linkLocation=https://bible.usccb.org/bible/readings/072126.cfm, friendlyName=USCCB readings ↗</x:v>
      </x:c>
    </x:row>
    <x:row r="171">
      <x:c r="A171" s="38" t="n">
        <x:v>46225</x:v>
      </x:c>
      <x:c r="B171" t="str">
        <x:v>Wednesday</x:v>
      </x:c>
      <x:c r="C171" s="20" t="str">
        <x:v>Ordinary Time</x:v>
      </x:c>
      <x:c r="D171" t="str">
        <x:v>Saint Mary Magdalene</x:v>
      </x:c>
      <x:c r="E171" t="str">
        <x:v>Feast</x:v>
      </x:c>
      <x:c r="F171" s="14" t="str">
        <x:v>Saint Mary Magdalene [Feast]</x:v>
      </x:c>
      <x:c r="G171" s="14" t="str">
        <x:v>★ ✦ 🕯</x:v>
      </x:c>
      <x:c r="H171" s="14" t="str"/>
      <x:c r="I171" s="14" t="str"/>
      <x:c r="J171" s="14" t="str"/>
      <x:c r="K171" s="84" t="str">
        <x:v>🕯 Franciscan summer Lent — historical Franciscan practice</x:v>
      </x:c>
      <x:c r="L171" s="14" t="str"/>
      <x:c r="M171" s="14" t="str"/>
      <x:c r="N171" s="14" t="str">
        <x:v>https://www.usccb.org/resources/2026cal.pdf
https://www.franciscantradition.org/blog/the-five-lents-of-francis-vjkyuy/</x:v>
      </x:c>
      <x:c r="O171" s="115" t="e">
        <x:f>HYPERLINK("https://bible.usccb.org/bible/readings/072226.cfm","USCCB readings ↗")</x:f>
        <x:v>HYPERLINK is not implemented. linkLocation=https://bible.usccb.org/bible/readings/072226.cfm, friendlyName=USCCB readings ↗</x:v>
      </x:c>
    </x:row>
    <x:row r="172">
      <x:c r="A172" s="38" t="n">
        <x:v>46226</x:v>
      </x:c>
      <x:c r="B172" t="str">
        <x:v>Thursday</x:v>
      </x:c>
      <x:c r="C172" s="20" t="str">
        <x:v>Ordinary Time</x:v>
      </x:c>
      <x:c r="D172" t="str">
        <x:v>Weekday in Ordinary Time</x:v>
      </x:c>
      <x:c r="E172" t="str">
        <x:v>Weekday</x:v>
      </x:c>
      <x:c r="F172" s="14" t="str">
        <x:v>Saint Bridget [Optional Memorial]</x:v>
      </x:c>
      <x:c r="G172" s="14" t="str">
        <x:v>✦ 🕯</x:v>
      </x:c>
      <x:c r="H172" s="14" t="str"/>
      <x:c r="I172" s="14" t="str"/>
      <x:c r="J172" s="14" t="str"/>
      <x:c r="K172" s="84" t="str">
        <x:v>🕯 Franciscan summer Lent — historical Franciscan practice</x:v>
      </x:c>
      <x:c r="L172" s="14" t="str"/>
      <x:c r="M172" s="14" t="str"/>
      <x:c r="N172" s="14" t="str">
        <x:v>https://www.usccb.org/resources/2026cal.pdf
https://www.franciscantradition.org/blog/the-five-lents-of-francis-vjkyuy/</x:v>
      </x:c>
      <x:c r="O172" s="115" t="e">
        <x:f>HYPERLINK("https://bible.usccb.org/bible/readings/072326.cfm","USCCB readings ↗")</x:f>
        <x:v>HYPERLINK is not implemented. linkLocation=https://bible.usccb.org/bible/readings/072326.cfm, friendlyName=USCCB readings ↗</x:v>
      </x:c>
    </x:row>
    <x:row r="173">
      <x:c r="A173" s="38" t="n">
        <x:v>46227</x:v>
      </x:c>
      <x:c r="B173" t="str">
        <x:v>Friday</x:v>
      </x:c>
      <x:c r="C173" s="20" t="str">
        <x:v>Ordinary Time</x:v>
      </x:c>
      <x:c r="D173" t="str">
        <x:v>Weekday in Ordinary Time</x:v>
      </x:c>
      <x:c r="E173" t="str">
        <x:v>Weekday</x:v>
      </x:c>
      <x:c r="F173" s="14" t="str">
        <x:v>Saint Sharbel Makhlūf [Optional Memorial]</x:v>
      </x:c>
      <x:c r="G173" s="14" t="str">
        <x:v>✦ Ⓟ 🕯</x:v>
      </x:c>
      <x:c r="H173" s="14" t="str"/>
      <x:c r="I173" s="14" t="str"/>
      <x:c r="J173" s="82" t="str">
        <x:v>Friday penance — outside Lent, U.S. Catholics may choose an appropriate penitential practice</x:v>
      </x:c>
      <x:c r="K173" s="84" t="str">
        <x:v>🕯 Franciscan summer Lent — historical Franciscan practice</x:v>
      </x:c>
      <x:c r="L173" s="14" t="str"/>
      <x:c r="M173" s="14" t="str"/>
      <x:c r="N173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73" s="115" t="e">
        <x:f>HYPERLINK("https://bible.usccb.org/bible/readings/072426.cfm","USCCB readings ↗")</x:f>
        <x:v>HYPERLINK is not implemented. linkLocation=https://bible.usccb.org/bible/readings/072426.cfm, friendlyName=USCCB readings ↗</x:v>
      </x:c>
    </x:row>
    <x:row r="174">
      <x:c r="A174" s="38" t="n">
        <x:v>46228</x:v>
      </x:c>
      <x:c r="B174" t="str">
        <x:v>Saturday</x:v>
      </x:c>
      <x:c r="C174" s="20" t="str">
        <x:v>Ordinary Time</x:v>
      </x:c>
      <x:c r="D174" t="str">
        <x:v>Saint James, Apostle</x:v>
      </x:c>
      <x:c r="E174" t="str">
        <x:v>Feast</x:v>
      </x:c>
      <x:c r="F174" s="14" t="str">
        <x:v>Saint James, Apostle [Feast]</x:v>
      </x:c>
      <x:c r="G174" s="14" t="str">
        <x:v>★ ✦ 🕯</x:v>
      </x:c>
      <x:c r="H174" s="14" t="str"/>
      <x:c r="I174" s="14" t="str"/>
      <x:c r="J174" s="14" t="str"/>
      <x:c r="K174" s="84" t="str">
        <x:v>🕯 Franciscan summer Lent — historical Franciscan practice</x:v>
      </x:c>
      <x:c r="L174" s="14" t="str">
        <x:v>Popular tradition: Saint Christopher</x:v>
      </x:c>
      <x:c r="M174" s="14" t="str"/>
      <x:c r="N174" s="14" t="str">
        <x:v>https://www.usccb.org/resources/2026cal.pdf
https://www.franciscantradition.org/blog/the-five-lents-of-francis-vjkyuy/</x:v>
      </x:c>
      <x:c r="O174" s="115" t="e">
        <x:f>HYPERLINK("https://bible.usccb.org/bible/readings/072526.cfm","USCCB readings ↗")</x:f>
        <x:v>HYPERLINK is not implemented. linkLocation=https://bible.usccb.org/bible/readings/072526.cfm, friendlyName=USCCB readings ↗</x:v>
      </x:c>
    </x:row>
    <x:row r="175">
      <x:c r="A175" s="38" t="n">
        <x:v>46229</x:v>
      </x:c>
      <x:c r="B175" t="str">
        <x:v>Sunday</x:v>
      </x:c>
      <x:c r="C175" s="20" t="str">
        <x:v>Ordinary Time</x:v>
      </x:c>
      <x:c r="D175" t="str">
        <x:v>Seventeenth Sunday in Ordinary Time</x:v>
      </x:c>
      <x:c r="E175" t="str">
        <x:v>Sunday</x:v>
      </x:c>
      <x:c r="F175" s="76" t="str">
        <x:v>Saints Joachim and Anne [Memorial]</x:v>
      </x:c>
      <x:c r="G175" s="14" t="str">
        <x:v>✦ 🌹 ⛪ 🕯</x:v>
      </x:c>
      <x:c r="H175" s="78" t="str">
        <x:v>⛪ Sunday Mass obligation</x:v>
      </x:c>
      <x:c r="I175" s="14" t="str"/>
      <x:c r="J175" s="14" t="str"/>
      <x:c r="K175" s="84" t="str">
        <x:v>🕯 Franciscan summer Lent — historical Franciscan practice</x:v>
      </x:c>
      <x:c r="L175" s="14" t="str"/>
      <x:c r="M175" s="14" t="str">
        <x:v>A fixed observance also falls today, but the Sunday or higher-ranking celebration takes liturgical precedence.</x:v>
      </x:c>
      <x:c r="N175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75" s="115" t="e">
        <x:f>HYPERLINK("https://bible.usccb.org/bible/readings/072626.cfm","USCCB readings ↗")</x:f>
        <x:v>HYPERLINK is not implemented. linkLocation=https://bible.usccb.org/bible/readings/072626.cfm, friendlyName=USCCB readings ↗</x:v>
      </x:c>
    </x:row>
    <x:row r="176">
      <x:c r="A176" s="38" t="n">
        <x:v>46230</x:v>
      </x:c>
      <x:c r="B176" t="str">
        <x:v>Monday</x:v>
      </x:c>
      <x:c r="C176" s="20" t="str">
        <x:v>Ordinary Time</x:v>
      </x:c>
      <x:c r="D176" t="str">
        <x:v>Weekday in Ordinary Time</x:v>
      </x:c>
      <x:c r="E176" t="str">
        <x:v>Weekday</x:v>
      </x:c>
      <x:c r="F176" s="14" t="str"/>
      <x:c r="G176" s="14" t="str">
        <x:v>🕯</x:v>
      </x:c>
      <x:c r="H176" s="14" t="str"/>
      <x:c r="I176" s="14" t="str"/>
      <x:c r="J176" s="14" t="str"/>
      <x:c r="K176" s="84" t="str">
        <x:v>🕯 Franciscan summer Lent — historical Franciscan practice</x:v>
      </x:c>
      <x:c r="L176" s="14" t="str"/>
      <x:c r="M176" s="14" t="str"/>
      <x:c r="N176" s="14" t="str">
        <x:v>https://www.usccb.org/resources/2026cal.pdf
https://www.franciscantradition.org/blog/the-five-lents-of-francis-vjkyuy/</x:v>
      </x:c>
      <x:c r="O176" s="115" t="e">
        <x:f>HYPERLINK("https://bible.usccb.org/bible/readings/072726.cfm","USCCB readings ↗")</x:f>
        <x:v>HYPERLINK is not implemented. linkLocation=https://bible.usccb.org/bible/readings/072726.cfm, friendlyName=USCCB readings ↗</x:v>
      </x:c>
    </x:row>
    <x:row r="177">
      <x:c r="A177" s="38" t="n">
        <x:v>46231</x:v>
      </x:c>
      <x:c r="B177" t="str">
        <x:v>Tuesday</x:v>
      </x:c>
      <x:c r="C177" s="20" t="str">
        <x:v>Ordinary Time</x:v>
      </x:c>
      <x:c r="D177" t="str">
        <x:v>Weekday in Ordinary Time</x:v>
      </x:c>
      <x:c r="E177" t="str">
        <x:v>Weekday</x:v>
      </x:c>
      <x:c r="F177" s="14" t="str"/>
      <x:c r="G177" s="14" t="str">
        <x:v>🕯</x:v>
      </x:c>
      <x:c r="H177" s="14" t="str"/>
      <x:c r="I177" s="14" t="str"/>
      <x:c r="J177" s="14" t="str"/>
      <x:c r="K177" s="84" t="str">
        <x:v>🕯 Franciscan summer Lent — historical Franciscan practice</x:v>
      </x:c>
      <x:c r="L177" s="14" t="str"/>
      <x:c r="M177" s="14" t="str"/>
      <x:c r="N177" s="14" t="str">
        <x:v>https://www.usccb.org/resources/2026cal.pdf
https://www.franciscantradition.org/blog/the-five-lents-of-francis-vjkyuy/</x:v>
      </x:c>
      <x:c r="O177" s="115" t="e">
        <x:f>HYPERLINK("https://bible.usccb.org/bible/readings/072826.cfm","USCCB readings ↗")</x:f>
        <x:v>HYPERLINK is not implemented. linkLocation=https://bible.usccb.org/bible/readings/072826.cfm, friendlyName=USCCB readings ↗</x:v>
      </x:c>
    </x:row>
    <x:row r="178">
      <x:c r="A178" s="38" t="n">
        <x:v>46232</x:v>
      </x:c>
      <x:c r="B178" t="str">
        <x:v>Wednesday</x:v>
      </x:c>
      <x:c r="C178" s="20" t="str">
        <x:v>Ordinary Time</x:v>
      </x:c>
      <x:c r="D178" t="str">
        <x:v>Saints Martha, Mary and Lazarus</x:v>
      </x:c>
      <x:c r="E178" t="str">
        <x:v>Memorial</x:v>
      </x:c>
      <x:c r="F178" s="14" t="str">
        <x:v>Saints Martha, Mary and Lazarus [Memorial]</x:v>
      </x:c>
      <x:c r="G178" s="14" t="str">
        <x:v>✦ 🕯</x:v>
      </x:c>
      <x:c r="H178" s="14" t="str"/>
      <x:c r="I178" s="14" t="str"/>
      <x:c r="J178" s="14" t="str"/>
      <x:c r="K178" s="84" t="str">
        <x:v>🕯 Franciscan summer Lent — historical Franciscan practice</x:v>
      </x:c>
      <x:c r="L178" s="14" t="str"/>
      <x:c r="M178" s="14" t="str"/>
      <x:c r="N178" s="14" t="str">
        <x:v>https://www.usccb.org/resources/2026cal.pdf
https://www.franciscantradition.org/blog/the-five-lents-of-francis-vjkyuy/</x:v>
      </x:c>
      <x:c r="O178" s="115" t="e">
        <x:f>HYPERLINK("https://bible.usccb.org/bible/readings/072926.cfm","USCCB readings ↗")</x:f>
        <x:v>HYPERLINK is not implemented. linkLocation=https://bible.usccb.org/bible/readings/072926.cfm, friendlyName=USCCB readings ↗</x:v>
      </x:c>
    </x:row>
    <x:row r="179">
      <x:c r="A179" s="38" t="n">
        <x:v>46233</x:v>
      </x:c>
      <x:c r="B179" t="str">
        <x:v>Thursday</x:v>
      </x:c>
      <x:c r="C179" s="20" t="str">
        <x:v>Ordinary Time</x:v>
      </x:c>
      <x:c r="D179" t="str">
        <x:v>Weekday in Ordinary Time</x:v>
      </x:c>
      <x:c r="E179" t="str">
        <x:v>Weekday</x:v>
      </x:c>
      <x:c r="F179" s="14" t="str">
        <x:v>Saint Peter Chrysologus [Optional Memorial]</x:v>
      </x:c>
      <x:c r="G179" s="14" t="str">
        <x:v>✦ 🕯</x:v>
      </x:c>
      <x:c r="H179" s="14" t="str"/>
      <x:c r="I179" s="14" t="str"/>
      <x:c r="J179" s="14" t="str"/>
      <x:c r="K179" s="84" t="str">
        <x:v>🕯 Franciscan summer Lent — historical Franciscan practice</x:v>
      </x:c>
      <x:c r="L179" s="14" t="str"/>
      <x:c r="M179" s="14" t="str"/>
      <x:c r="N179" s="14" t="str">
        <x:v>https://www.usccb.org/resources/2026cal.pdf
https://www.franciscantradition.org/blog/the-five-lents-of-francis-vjkyuy/</x:v>
      </x:c>
      <x:c r="O179" s="115" t="e">
        <x:f>HYPERLINK("https://bible.usccb.org/bible/readings/073026.cfm","USCCB readings ↗")</x:f>
        <x:v>HYPERLINK is not implemented. linkLocation=https://bible.usccb.org/bible/readings/073026.cfm, friendlyName=USCCB readings ↗</x:v>
      </x:c>
    </x:row>
    <x:row r="180">
      <x:c r="A180" s="38" t="n">
        <x:v>46234</x:v>
      </x:c>
      <x:c r="B180" t="str">
        <x:v>Friday</x:v>
      </x:c>
      <x:c r="C180" s="20" t="str">
        <x:v>Ordinary Time</x:v>
      </x:c>
      <x:c r="D180" t="str">
        <x:v>Saint Ignatius of Loyola</x:v>
      </x:c>
      <x:c r="E180" t="str">
        <x:v>Memorial</x:v>
      </x:c>
      <x:c r="F180" s="14" t="str">
        <x:v>Saint Ignatius of Loyola [Memorial]</x:v>
      </x:c>
      <x:c r="G180" s="14" t="str">
        <x:v>✦ Ⓟ 🕯</x:v>
      </x:c>
      <x:c r="H180" s="14" t="str"/>
      <x:c r="I180" s="14" t="str"/>
      <x:c r="J180" s="82" t="str">
        <x:v>Friday penance — outside Lent, U.S. Catholics may choose an appropriate penitential practice</x:v>
      </x:c>
      <x:c r="K180" s="84" t="str">
        <x:v>🕯 Franciscan summer Lent — historical Franciscan practice</x:v>
      </x:c>
      <x:c r="L180" s="14" t="str"/>
      <x:c r="M180" s="14" t="str"/>
      <x:c r="N180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80" s="115" t="e">
        <x:f>HYPERLINK("https://bible.usccb.org/bible/readings/073126.cfm","USCCB readings ↗")</x:f>
        <x:v>HYPERLINK is not implemented. linkLocation=https://bible.usccb.org/bible/readings/073126.cfm, friendlyName=USCCB readings ↗</x:v>
      </x:c>
    </x:row>
    <x:row r="181">
      <x:c r="A181" s="38" t="n">
        <x:v>46235</x:v>
      </x:c>
      <x:c r="B181" t="str">
        <x:v>Saturday</x:v>
      </x:c>
      <x:c r="C181" s="20" t="str">
        <x:v>Ordinary Time</x:v>
      </x:c>
      <x:c r="D181" t="str">
        <x:v>Saint Alphonsus Liguori</x:v>
      </x:c>
      <x:c r="E181" t="str">
        <x:v>Memorial</x:v>
      </x:c>
      <x:c r="F181" s="76" t="str">
        <x:v>Saint Alphonsus Liguori [Memorial]</x:v>
      </x:c>
      <x:c r="G181" s="14" t="str">
        <x:v>✦ 🙏 🌹 🕯</x:v>
      </x:c>
      <x:c r="H181" s="14" t="str"/>
      <x:c r="I181" s="80" t="str">
        <x:v>🌹 First Saturday — Immaculate Heart devotion</x:v>
      </x:c>
      <x:c r="J181" s="14" t="str"/>
      <x:c r="K181" s="84" t="str">
        <x:v>🕯 Franciscan summer Lent — historical Franciscan practice</x:v>
      </x:c>
      <x:c r="L181" s="14" t="str"/>
      <x:c r="M181" s="14" t="str"/>
      <x:c r="N181" s="14" t="str">
        <x:v>https://www.usccb.org/resources/2026cal.pdf
https://www.ewtn.com/catholicism/library/revelation-of-the-immaculate-heart-at-fatima-in-1917-5465
https://www.franciscantradition.org/blog/the-five-lents-of-francis-vjkyuy/</x:v>
      </x:c>
      <x:c r="O181" s="115" t="e">
        <x:f>HYPERLINK("https://bible.usccb.org/bible/readings/080126.cfm","USCCB readings ↗")</x:f>
        <x:v>HYPERLINK is not implemented. linkLocation=https://bible.usccb.org/bible/readings/080126.cfm, friendlyName=USCCB readings ↗</x:v>
      </x:c>
    </x:row>
    <x:row r="182">
      <x:c r="A182" s="38" t="n">
        <x:v>46236</x:v>
      </x:c>
      <x:c r="B182" t="str">
        <x:v>Sunday</x:v>
      </x:c>
      <x:c r="C182" s="20" t="str">
        <x:v>Ordinary Time</x:v>
      </x:c>
      <x:c r="D182" t="str">
        <x:v>Eighteenth Sunday in Ordinary Time</x:v>
      </x:c>
      <x:c r="E182" t="str">
        <x:v>Sunday</x:v>
      </x:c>
      <x:c r="F182" s="14" t="str">
        <x:v>Saint Eusebius of Vercelli; Saint Peter Julian Eymard [Optional Memorial]</x:v>
      </x:c>
      <x:c r="G182" s="14" t="str">
        <x:v>✦ ⛪ 🕯</x:v>
      </x:c>
      <x:c r="H182" s="78" t="str">
        <x:v>⛪ Sunday Mass obligation</x:v>
      </x:c>
      <x:c r="I182" s="14" t="str"/>
      <x:c r="J182" s="14" t="str"/>
      <x:c r="K182" s="84" t="str">
        <x:v>🕯 Franciscan summer Lent — historical Franciscan practice</x:v>
      </x:c>
      <x:c r="L182" s="14" t="str"/>
      <x:c r="M182" s="14" t="str">
        <x:v>A fixed observance also falls today, but the Sunday or higher-ranking celebration takes liturgical precedence.</x:v>
      </x:c>
      <x:c r="N182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82" s="115" t="e">
        <x:f>HYPERLINK("https://bible.usccb.org/bible/readings/080226.cfm","USCCB readings ↗")</x:f>
        <x:v>HYPERLINK is not implemented. linkLocation=https://bible.usccb.org/bible/readings/080226.cfm, friendlyName=USCCB readings ↗</x:v>
      </x:c>
    </x:row>
    <x:row r="183">
      <x:c r="A183" s="38" t="n">
        <x:v>46237</x:v>
      </x:c>
      <x:c r="B183" t="str">
        <x:v>Monday</x:v>
      </x:c>
      <x:c r="C183" s="20" t="str">
        <x:v>Ordinary Time</x:v>
      </x:c>
      <x:c r="D183" t="str">
        <x:v>Weekday in Ordinary Time</x:v>
      </x:c>
      <x:c r="E183" t="str">
        <x:v>Weekday</x:v>
      </x:c>
      <x:c r="F183" s="14" t="str"/>
      <x:c r="G183" s="14" t="str">
        <x:v>🕯</x:v>
      </x:c>
      <x:c r="H183" s="14" t="str"/>
      <x:c r="I183" s="14" t="str"/>
      <x:c r="J183" s="14" t="str"/>
      <x:c r="K183" s="84" t="str">
        <x:v>🕯 Franciscan summer Lent — historical Franciscan practice</x:v>
      </x:c>
      <x:c r="L183" s="14" t="str"/>
      <x:c r="M183" s="14" t="str"/>
      <x:c r="N183" s="14" t="str">
        <x:v>https://www.usccb.org/resources/2026cal.pdf
https://www.franciscantradition.org/blog/the-five-lents-of-francis-vjkyuy/</x:v>
      </x:c>
      <x:c r="O183" s="115" t="e">
        <x:f>HYPERLINK("https://bible.usccb.org/bible/readings/080326.cfm","USCCB readings ↗")</x:f>
        <x:v>HYPERLINK is not implemented. linkLocation=https://bible.usccb.org/bible/readings/080326.cfm, friendlyName=USCCB readings ↗</x:v>
      </x:c>
    </x:row>
    <x:row r="184">
      <x:c r="A184" s="38" t="n">
        <x:v>46238</x:v>
      </x:c>
      <x:c r="B184" t="str">
        <x:v>Tuesday</x:v>
      </x:c>
      <x:c r="C184" s="20" t="str">
        <x:v>Ordinary Time</x:v>
      </x:c>
      <x:c r="D184" t="str">
        <x:v>Saint John Vianney</x:v>
      </x:c>
      <x:c r="E184" t="str">
        <x:v>Memorial</x:v>
      </x:c>
      <x:c r="F184" s="14" t="str">
        <x:v>Saint John Vianney [Memorial]</x:v>
      </x:c>
      <x:c r="G184" s="14" t="str">
        <x:v>✦ 🕯</x:v>
      </x:c>
      <x:c r="H184" s="14" t="str"/>
      <x:c r="I184" s="14" t="str"/>
      <x:c r="J184" s="14" t="str"/>
      <x:c r="K184" s="84" t="str">
        <x:v>🕯 Franciscan summer Lent — historical Franciscan practice</x:v>
      </x:c>
      <x:c r="L184" s="14" t="str"/>
      <x:c r="M184" s="14" t="str"/>
      <x:c r="N184" s="14" t="str">
        <x:v>https://www.usccb.org/resources/2026cal.pdf
https://www.franciscantradition.org/blog/the-five-lents-of-francis-vjkyuy/</x:v>
      </x:c>
      <x:c r="O184" s="115" t="e">
        <x:f>HYPERLINK("https://bible.usccb.org/bible/readings/080426.cfm","USCCB readings ↗")</x:f>
        <x:v>HYPERLINK is not implemented. linkLocation=https://bible.usccb.org/bible/readings/080426.cfm, friendlyName=USCCB readings ↗</x:v>
      </x:c>
    </x:row>
    <x:row r="185">
      <x:c r="A185" s="38" t="n">
        <x:v>46239</x:v>
      </x:c>
      <x:c r="B185" t="str">
        <x:v>Wednesday</x:v>
      </x:c>
      <x:c r="C185" s="20" t="str">
        <x:v>Ordinary Time</x:v>
      </x:c>
      <x:c r="D185" t="str">
        <x:v>Weekday in Ordinary Time</x:v>
      </x:c>
      <x:c r="E185" t="str">
        <x:v>Weekday</x:v>
      </x:c>
      <x:c r="F185" s="76" t="str">
        <x:v>Dedication of the Basilica of Saint Mary Major [Optional Memorial]</x:v>
      </x:c>
      <x:c r="G185" s="14" t="str">
        <x:v>🌹 🕯</x:v>
      </x:c>
      <x:c r="H185" s="14" t="str"/>
      <x:c r="I185" s="14" t="str"/>
      <x:c r="J185" s="14" t="str"/>
      <x:c r="K185" s="84" t="str">
        <x:v>🕯 Franciscan summer Lent — historical Franciscan practice</x:v>
      </x:c>
      <x:c r="L185" s="14" t="str"/>
      <x:c r="M185" s="14" t="str"/>
      <x:c r="N185" s="14" t="str">
        <x:v>https://www.usccb.org/resources/2026cal.pdf
https://www.franciscantradition.org/blog/the-five-lents-of-francis-vjkyuy/</x:v>
      </x:c>
      <x:c r="O185" s="115" t="e">
        <x:f>HYPERLINK("https://bible.usccb.org/bible/readings/080526.cfm","USCCB readings ↗")</x:f>
        <x:v>HYPERLINK is not implemented. linkLocation=https://bible.usccb.org/bible/readings/080526.cfm, friendlyName=USCCB readings ↗</x:v>
      </x:c>
    </x:row>
    <x:row r="186">
      <x:c r="A186" s="38" t="n">
        <x:v>46240</x:v>
      </x:c>
      <x:c r="B186" t="str">
        <x:v>Thursday</x:v>
      </x:c>
      <x:c r="C186" s="20" t="str">
        <x:v>Ordinary Time</x:v>
      </x:c>
      <x:c r="D186" t="str">
        <x:v>Transfiguration of the Lord</x:v>
      </x:c>
      <x:c r="E186" t="str">
        <x:v>Feast</x:v>
      </x:c>
      <x:c r="F186" s="14" t="str">
        <x:v>Transfiguration of the Lord [Feast]</x:v>
      </x:c>
      <x:c r="G186" s="14" t="str">
        <x:v>★ ✝ 🕯</x:v>
      </x:c>
      <x:c r="H186" s="14" t="str"/>
      <x:c r="I186" s="14" t="str"/>
      <x:c r="J186" s="14" t="str"/>
      <x:c r="K186" s="84" t="str">
        <x:v>🕯 Franciscan summer Lent — historical Franciscan practice</x:v>
      </x:c>
      <x:c r="L186" s="14" t="str"/>
      <x:c r="M186" s="14" t="str"/>
      <x:c r="N186" s="14" t="str">
        <x:v>https://www.usccb.org/resources/2026cal.pdf
https://www.franciscantradition.org/blog/the-five-lents-of-francis-vjkyuy/</x:v>
      </x:c>
      <x:c r="O186" s="115" t="e">
        <x:f>HYPERLINK("https://bible.usccb.org/bible/readings/080626.cfm","USCCB readings ↗")</x:f>
        <x:v>HYPERLINK is not implemented. linkLocation=https://bible.usccb.org/bible/readings/080626.cfm, friendlyName=USCCB readings ↗</x:v>
      </x:c>
    </x:row>
    <x:row r="187">
      <x:c r="A187" s="38" t="n">
        <x:v>46241</x:v>
      </x:c>
      <x:c r="B187" t="str">
        <x:v>Friday</x:v>
      </x:c>
      <x:c r="C187" s="20" t="str">
        <x:v>Ordinary Time</x:v>
      </x:c>
      <x:c r="D187" t="str">
        <x:v>Weekday in Ordinary Time</x:v>
      </x:c>
      <x:c r="E187" t="str">
        <x:v>Weekday</x:v>
      </x:c>
      <x:c r="F187" s="14" t="str">
        <x:v>Saint Sixtus II and Companions; Saint Cajetan [Optional Memorial]</x:v>
      </x:c>
      <x:c r="G187" s="14" t="str">
        <x:v>✦ 🙏 Ⓟ 🕯</x:v>
      </x:c>
      <x:c r="H187" s="14" t="str"/>
      <x:c r="I187" s="80" t="str">
        <x:v>❤ First Friday — Sacred Heart devotion</x:v>
      </x:c>
      <x:c r="J187" s="82" t="str">
        <x:v>Friday penance — outside Lent, U.S. Catholics may choose an appropriate penitential practice</x:v>
      </x:c>
      <x:c r="K187" s="84" t="str">
        <x:v>🕯 Franciscan summer Lent — historical Franciscan practice</x:v>
      </x:c>
      <x:c r="L187" s="14" t="str"/>
      <x:c r="M187" s="14" t="str"/>
      <x:c r="N187" s="14" t="str">
        <x:v>https://www.usccb.org/resources/2026cal.pdf
https://www.ewtn.com/catholicism/library/first-friday-devotion-to-sacred-heart-4692
https://www.usccb.org/prayer-and-worship/liturgical-year-and-calendar/lent/catholic-information-on-lenten-fast-and-abstinence
https://www.franciscantradition.org/blog/the-five-lents-of-francis-vjkyuy/</x:v>
      </x:c>
      <x:c r="O187" s="115" t="e">
        <x:f>HYPERLINK("https://bible.usccb.org/bible/readings/080726.cfm","USCCB readings ↗")</x:f>
        <x:v>HYPERLINK is not implemented. linkLocation=https://bible.usccb.org/bible/readings/080726.cfm, friendlyName=USCCB readings ↗</x:v>
      </x:c>
    </x:row>
    <x:row r="188">
      <x:c r="A188" s="38" t="n">
        <x:v>46242</x:v>
      </x:c>
      <x:c r="B188" t="str">
        <x:v>Saturday</x:v>
      </x:c>
      <x:c r="C188" s="20" t="str">
        <x:v>Ordinary Time</x:v>
      </x:c>
      <x:c r="D188" t="str">
        <x:v>Saint Dominic</x:v>
      </x:c>
      <x:c r="E188" t="str">
        <x:v>Memorial</x:v>
      </x:c>
      <x:c r="F188" s="14" t="str">
        <x:v>Saint Dominic [Memorial]</x:v>
      </x:c>
      <x:c r="G188" s="14" t="str">
        <x:v>✦ 🕯</x:v>
      </x:c>
      <x:c r="H188" s="14" t="str"/>
      <x:c r="I188" s="14" t="str"/>
      <x:c r="J188" s="14" t="str"/>
      <x:c r="K188" s="84" t="str">
        <x:v>🕯 Franciscan summer Lent — historical Franciscan practice</x:v>
      </x:c>
      <x:c r="L188" s="14" t="str"/>
      <x:c r="M188" s="14" t="str"/>
      <x:c r="N188" s="14" t="str">
        <x:v>https://www.usccb.org/resources/2026cal.pdf
https://www.franciscantradition.org/blog/the-five-lents-of-francis-vjkyuy/</x:v>
      </x:c>
      <x:c r="O188" s="115" t="e">
        <x:f>HYPERLINK("https://bible.usccb.org/bible/readings/080826.cfm","USCCB readings ↗")</x:f>
        <x:v>HYPERLINK is not implemented. linkLocation=https://bible.usccb.org/bible/readings/080826.cfm, friendlyName=USCCB readings ↗</x:v>
      </x:c>
    </x:row>
    <x:row r="189">
      <x:c r="A189" s="38" t="n">
        <x:v>46243</x:v>
      </x:c>
      <x:c r="B189" t="str">
        <x:v>Sunday</x:v>
      </x:c>
      <x:c r="C189" s="20" t="str">
        <x:v>Ordinary Time</x:v>
      </x:c>
      <x:c r="D189" t="str">
        <x:v>Nineteenth Sunday in Ordinary Time</x:v>
      </x:c>
      <x:c r="E189" t="str">
        <x:v>Sunday</x:v>
      </x:c>
      <x:c r="F189" s="14" t="str">
        <x:v>Saint Teresa Benedicta of the Cross [Optional Memorial]</x:v>
      </x:c>
      <x:c r="G189" s="14" t="str">
        <x:v>✦ ⛪ 🕯</x:v>
      </x:c>
      <x:c r="H189" s="78" t="str">
        <x:v>⛪ Sunday Mass obligation</x:v>
      </x:c>
      <x:c r="I189" s="14" t="str"/>
      <x:c r="J189" s="14" t="str"/>
      <x:c r="K189" s="84" t="str">
        <x:v>🕯 Franciscan summer Lent — historical Franciscan practice</x:v>
      </x:c>
      <x:c r="L189" s="14" t="str"/>
      <x:c r="M189" s="14" t="str">
        <x:v>A fixed observance also falls today, but the Sunday or higher-ranking celebration takes liturgical precedence.</x:v>
      </x:c>
      <x:c r="N189" s="14" t="str">
        <x:v>https://www.usccb.org/resources/2026cal.pdf
https://www.usccb.org/beliefs-and-teachings/what-we-believe/canon-law/complementary-norms/canon-1246
https://www.franciscantradition.org/blog/the-five-lents-of-francis-vjkyuy/</x:v>
      </x:c>
      <x:c r="O189" s="115" t="e">
        <x:f>HYPERLINK("https://bible.usccb.org/bible/readings/080926.cfm","USCCB readings ↗")</x:f>
        <x:v>HYPERLINK is not implemented. linkLocation=https://bible.usccb.org/bible/readings/080926.cfm, friendlyName=USCCB readings ↗</x:v>
      </x:c>
    </x:row>
    <x:row r="190">
      <x:c r="A190" s="38" t="n">
        <x:v>46244</x:v>
      </x:c>
      <x:c r="B190" t="str">
        <x:v>Monday</x:v>
      </x:c>
      <x:c r="C190" s="20" t="str">
        <x:v>Ordinary Time</x:v>
      </x:c>
      <x:c r="D190" t="str">
        <x:v>Saint Lawrence</x:v>
      </x:c>
      <x:c r="E190" t="str">
        <x:v>Feast</x:v>
      </x:c>
      <x:c r="F190" s="14" t="str">
        <x:v>Saint Lawrence [Feast]</x:v>
      </x:c>
      <x:c r="G190" s="14" t="str">
        <x:v>★ ✦ 🕯</x:v>
      </x:c>
      <x:c r="H190" s="14" t="str"/>
      <x:c r="I190" s="14" t="str"/>
      <x:c r="J190" s="14" t="str"/>
      <x:c r="K190" s="84" t="str">
        <x:v>🕯 Franciscan summer Lent — historical Franciscan practice</x:v>
      </x:c>
      <x:c r="L190" s="14" t="str"/>
      <x:c r="M190" s="14" t="str"/>
      <x:c r="N190" s="14" t="str">
        <x:v>https://www.usccb.org/resources/2026cal.pdf
https://www.franciscantradition.org/blog/the-five-lents-of-francis-vjkyuy/</x:v>
      </x:c>
      <x:c r="O190" s="115" t="e">
        <x:f>HYPERLINK("https://bible.usccb.org/bible/readings/081026.cfm","USCCB readings ↗")</x:f>
        <x:v>HYPERLINK is not implemented. linkLocation=https://bible.usccb.org/bible/readings/081026.cfm, friendlyName=USCCB readings ↗</x:v>
      </x:c>
    </x:row>
    <x:row r="191">
      <x:c r="A191" s="38" t="n">
        <x:v>46245</x:v>
      </x:c>
      <x:c r="B191" t="str">
        <x:v>Tuesday</x:v>
      </x:c>
      <x:c r="C191" s="20" t="str">
        <x:v>Ordinary Time</x:v>
      </x:c>
      <x:c r="D191" t="str">
        <x:v>Saint Clare</x:v>
      </x:c>
      <x:c r="E191" t="str">
        <x:v>Memorial</x:v>
      </x:c>
      <x:c r="F191" s="14" t="str">
        <x:v>Saint Clare [Memorial]</x:v>
      </x:c>
      <x:c r="G191" s="14" t="str">
        <x:v>✦ 🕯</x:v>
      </x:c>
      <x:c r="H191" s="14" t="str"/>
      <x:c r="I191" s="14" t="str"/>
      <x:c r="J191" s="14" t="str"/>
      <x:c r="K191" s="84" t="str">
        <x:v>🕯 Franciscan summer Lent — historical Franciscan practice</x:v>
      </x:c>
      <x:c r="L191" s="14" t="str"/>
      <x:c r="M191" s="14" t="str"/>
      <x:c r="N191" s="14" t="str">
        <x:v>https://www.usccb.org/resources/2026cal.pdf
https://www.franciscantradition.org/blog/the-five-lents-of-francis-vjkyuy/</x:v>
      </x:c>
      <x:c r="O191" s="115" t="e">
        <x:f>HYPERLINK("https://bible.usccb.org/bible/readings/081126.cfm","USCCB readings ↗")</x:f>
        <x:v>HYPERLINK is not implemented. linkLocation=https://bible.usccb.org/bible/readings/081126.cfm, friendlyName=USCCB readings ↗</x:v>
      </x:c>
    </x:row>
    <x:row r="192">
      <x:c r="A192" s="38" t="n">
        <x:v>46246</x:v>
      </x:c>
      <x:c r="B192" t="str">
        <x:v>Wednesday</x:v>
      </x:c>
      <x:c r="C192" s="20" t="str">
        <x:v>Ordinary Time</x:v>
      </x:c>
      <x:c r="D192" t="str">
        <x:v>Weekday in Ordinary Time</x:v>
      </x:c>
      <x:c r="E192" t="str">
        <x:v>Weekday</x:v>
      </x:c>
      <x:c r="F192" s="14" t="str">
        <x:v>Saint Jane Frances de Chantal [Optional Memorial]</x:v>
      </x:c>
      <x:c r="G192" s="14" t="str">
        <x:v>✦ 🕯</x:v>
      </x:c>
      <x:c r="H192" s="14" t="str"/>
      <x:c r="I192" s="14" t="str"/>
      <x:c r="J192" s="14" t="str"/>
      <x:c r="K192" s="84" t="str">
        <x:v>🕯 Franciscan summer Lent — historical Franciscan practice</x:v>
      </x:c>
      <x:c r="L192" s="14" t="str"/>
      <x:c r="M192" s="14" t="str"/>
      <x:c r="N192" s="14" t="str">
        <x:v>https://www.usccb.org/resources/2026cal.pdf
https://www.franciscantradition.org/blog/the-five-lents-of-francis-vjkyuy/</x:v>
      </x:c>
      <x:c r="O192" s="115" t="e">
        <x:f>HYPERLINK("https://bible.usccb.org/bible/readings/081226.cfm","USCCB readings ↗")</x:f>
        <x:v>HYPERLINK is not implemented. linkLocation=https://bible.usccb.org/bible/readings/081226.cfm, friendlyName=USCCB readings ↗</x:v>
      </x:c>
    </x:row>
    <x:row r="193">
      <x:c r="A193" s="38" t="n">
        <x:v>46247</x:v>
      </x:c>
      <x:c r="B193" t="str">
        <x:v>Thursday</x:v>
      </x:c>
      <x:c r="C193" s="20" t="str">
        <x:v>Ordinary Time</x:v>
      </x:c>
      <x:c r="D193" t="str">
        <x:v>Weekday in Ordinary Time</x:v>
      </x:c>
      <x:c r="E193" t="str">
        <x:v>Weekday</x:v>
      </x:c>
      <x:c r="F193" s="14" t="str">
        <x:v>Saints Pontian and Hippolytus [Optional Memorial]</x:v>
      </x:c>
      <x:c r="G193" s="14" t="str">
        <x:v>✦ 🕯</x:v>
      </x:c>
      <x:c r="H193" s="14" t="str"/>
      <x:c r="I193" s="14" t="str"/>
      <x:c r="J193" s="14" t="str"/>
      <x:c r="K193" s="84" t="str">
        <x:v>🕯 Franciscan summer Lent — historical Franciscan practice</x:v>
      </x:c>
      <x:c r="L193" s="14" t="str"/>
      <x:c r="M193" s="14" t="str"/>
      <x:c r="N193" s="14" t="str">
        <x:v>https://www.usccb.org/resources/2026cal.pdf
https://www.franciscantradition.org/blog/the-five-lents-of-francis-vjkyuy/</x:v>
      </x:c>
      <x:c r="O193" s="115" t="e">
        <x:f>HYPERLINK("https://bible.usccb.org/bible/readings/081326.cfm","USCCB readings ↗")</x:f>
        <x:v>HYPERLINK is not implemented. linkLocation=https://bible.usccb.org/bible/readings/081326.cfm, friendlyName=USCCB readings ↗</x:v>
      </x:c>
    </x:row>
    <x:row r="194">
      <x:c r="A194" s="38" t="n">
        <x:v>46248</x:v>
      </x:c>
      <x:c r="B194" t="str">
        <x:v>Friday</x:v>
      </x:c>
      <x:c r="C194" s="20" t="str">
        <x:v>Ordinary Time</x:v>
      </x:c>
      <x:c r="D194" t="str">
        <x:v>Saint Maximilian Kolbe</x:v>
      </x:c>
      <x:c r="E194" t="str">
        <x:v>Memorial</x:v>
      </x:c>
      <x:c r="F194" s="14" t="str">
        <x:v>Saint Maximilian Kolbe [Memorial]</x:v>
      </x:c>
      <x:c r="G194" s="14" t="str">
        <x:v>✦ Ⓟ 🕯</x:v>
      </x:c>
      <x:c r="H194" s="14" t="str"/>
      <x:c r="I194" s="14" t="str"/>
      <x:c r="J194" s="82" t="str">
        <x:v>Friday penance — outside Lent, U.S. Catholics may choose an appropriate penitential practice</x:v>
      </x:c>
      <x:c r="K194" s="84" t="str">
        <x:v>🕯 Franciscan summer Lent — historical Franciscan practice</x:v>
      </x:c>
      <x:c r="L194" s="14" t="str"/>
      <x:c r="M194" s="14" t="str"/>
      <x:c r="N194" s="14" t="str">
        <x:v>https://www.usccb.org/resources/2026cal.pdf
https://www.usccb.org/prayer-and-worship/liturgical-year-and-calendar/lent/catholic-information-on-lenten-fast-and-abstinence
https://www.franciscantradition.org/blog/the-five-lents-of-francis-vjkyuy/</x:v>
      </x:c>
      <x:c r="O194" s="115" t="e">
        <x:f>HYPERLINK("https://bible.usccb.org/bible/readings/081426.cfm","USCCB readings ↗")</x:f>
        <x:v>HYPERLINK is not implemented. linkLocation=https://bible.usccb.org/bible/readings/081426.cfm, friendlyName=USCCB readings ↗</x:v>
      </x:c>
    </x:row>
    <x:row r="195">
      <x:c r="A195" s="38" t="n">
        <x:v>46249</x:v>
      </x:c>
      <x:c r="B195" t="str">
        <x:v>Saturday</x:v>
      </x:c>
      <x:c r="C195" s="20" t="str">
        <x:v>Ordinary Time</x:v>
      </x:c>
      <x:c r="D195" t="str">
        <x:v>Assumption of the Blessed Virgin Mary</x:v>
      </x:c>
      <x:c r="E195" t="str">
        <x:v>Solemnity</x:v>
      </x:c>
      <x:c r="F195" s="76" t="str">
        <x:v>Assumption of the Blessed Virgin Mary [Solemnity]</x:v>
      </x:c>
      <x:c r="G195" s="14" t="str">
        <x:v>★ 🌹 🙏 📿 ⚔ 🕯</x:v>
      </x:c>
      <x:c r="H195" s="78" t="str">
        <x:v>Assumption — U.S. obligation abrogated because it falls Monday/Saturday</x:v>
      </x:c>
      <x:c r="I195" s="80" t="str">
        <x:v>📿 54-Day Rosary Novena — Day 1/54 [START] — popular Assumption-to-Our-Lady-of-the-Rosary alignment
⚔ St. Michael's Lent [START] — Franciscan/private devotional tradition; exact '40-day' reckoning varies</x:v>
      </x:c>
      <x:c r="J195" s="14" t="str"/>
      <x:c r="K195" s="84" t="str">
        <x:v>🕯 Franciscan summer Lent — historical Franciscan practice</x:v>
      </x:c>
      <x:c r="L195" s="14" t="str"/>
      <x:c r="M195" s="14" t="str"/>
      <x:c r="N195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195" s="115" t="e">
        <x:f>HYPERLINK("https://bible.usccb.org/bible/readings/081526.cfm","USCCB readings ↗")</x:f>
        <x:v>HYPERLINK is not implemented. linkLocation=https://bible.usccb.org/bible/readings/081526.cfm, friendlyName=USCCB readings ↗</x:v>
      </x:c>
    </x:row>
    <x:row r="196">
      <x:c r="A196" s="38" t="n">
        <x:v>46250</x:v>
      </x:c>
      <x:c r="B196" t="str">
        <x:v>Sunday</x:v>
      </x:c>
      <x:c r="C196" s="20" t="str">
        <x:v>Ordinary Time</x:v>
      </x:c>
      <x:c r="D196" t="str">
        <x:v>Twentieth Sunday in Ordinary Time</x:v>
      </x:c>
      <x:c r="E196" t="str">
        <x:v>Sunday</x:v>
      </x:c>
      <x:c r="F196" s="14" t="str">
        <x:v>Saint Stephen of Hungary [Optional Memorial]</x:v>
      </x:c>
      <x:c r="G196" s="14" t="str">
        <x:v>✦ ⛪ 🙏 📿 ⚔</x:v>
      </x:c>
      <x:c r="H196" s="78" t="str">
        <x:v>⛪ Sunday Mass obligation</x:v>
      </x:c>
      <x:c r="I196" s="80" t="str">
        <x:v>📿 54-Day Rosary Novena — Day 2/54 — popular Assumption-to-Our-Lady-of-the-Rosary alignment
⚔ St. Michael's Lent — Franciscan/private devotional tradition; exact '40-day' reckoning varies</x:v>
      </x:c>
      <x:c r="J196" s="14" t="str"/>
      <x:c r="K196" s="14" t="str"/>
      <x:c r="L196" s="14" t="str"/>
      <x:c r="M196" s="14" t="str">
        <x:v>A fixed observance also falls today, but the Sunday or higher-ranking celebration takes liturgical precedence.</x:v>
      </x:c>
      <x:c r="N196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196" s="115" t="e">
        <x:f>HYPERLINK("https://bible.usccb.org/bible/readings/081626.cfm","USCCB readings ↗")</x:f>
        <x:v>HYPERLINK is not implemented. linkLocation=https://bible.usccb.org/bible/readings/081626.cfm, friendlyName=USCCB readings ↗</x:v>
      </x:c>
    </x:row>
    <x:row r="197">
      <x:c r="A197" s="38" t="n">
        <x:v>46251</x:v>
      </x:c>
      <x:c r="B197" t="str">
        <x:v>Monday</x:v>
      </x:c>
      <x:c r="C197" s="20" t="str">
        <x:v>Ordinary Time</x:v>
      </x:c>
      <x:c r="D197" t="str">
        <x:v>Weekday in Ordinary Time</x:v>
      </x:c>
      <x:c r="E197" t="str">
        <x:v>Weekday</x:v>
      </x:c>
      <x:c r="F197" s="14" t="str"/>
      <x:c r="G197" s="14" t="str">
        <x:v>🙏 📿 ⚔</x:v>
      </x:c>
      <x:c r="H197" s="14" t="str"/>
      <x:c r="I197" s="80" t="str">
        <x:v>📿 54-Day Rosary Novena — Day 3/54 — popular Assumption-to-Our-Lady-of-the-Rosary alignment
⚔ St. Michael's Lent — Franciscan/private devotional tradition; exact '40-day' reckoning varies</x:v>
      </x:c>
      <x:c r="J197" s="14" t="str"/>
      <x:c r="K197" s="14" t="str"/>
      <x:c r="L197" s="14" t="str"/>
      <x:c r="M197" s="14" t="str"/>
      <x:c r="N197" s="14" t="str">
        <x:v>https://www.usccb.org/resources/2026cal.pdf
https://hallow.com/blog/how-to-pray-54-day-novena/
https://www.franciscantradition.org/blog/the-five-lents-of-francis-vjkyuy/</x:v>
      </x:c>
      <x:c r="O197" s="115" t="e">
        <x:f>HYPERLINK("https://bible.usccb.org/bible/readings/081726.cfm","USCCB readings ↗")</x:f>
        <x:v>HYPERLINK is not implemented. linkLocation=https://bible.usccb.org/bible/readings/081726.cfm, friendlyName=USCCB readings ↗</x:v>
      </x:c>
    </x:row>
    <x:row r="198">
      <x:c r="A198" s="38" t="n">
        <x:v>46252</x:v>
      </x:c>
      <x:c r="B198" t="str">
        <x:v>Tuesday</x:v>
      </x:c>
      <x:c r="C198" s="20" t="str">
        <x:v>Ordinary Time</x:v>
      </x:c>
      <x:c r="D198" t="str">
        <x:v>Weekday in Ordinary Time</x:v>
      </x:c>
      <x:c r="E198" t="str">
        <x:v>Weekday</x:v>
      </x:c>
      <x:c r="F198" s="14" t="str"/>
      <x:c r="G198" s="14" t="str">
        <x:v>🙏 📿 ⚔</x:v>
      </x:c>
      <x:c r="H198" s="14" t="str"/>
      <x:c r="I198" s="80" t="str">
        <x:v>📿 54-Day Rosary Novena — Day 4/54 — popular Assumption-to-Our-Lady-of-the-Rosary alignment
⚔ St. Michael's Lent — Franciscan/private devotional tradition; exact '40-day' reckoning varies</x:v>
      </x:c>
      <x:c r="J198" s="14" t="str"/>
      <x:c r="K198" s="14" t="str"/>
      <x:c r="L198" s="14" t="str"/>
      <x:c r="M198" s="14" t="str"/>
      <x:c r="N198" s="14" t="str">
        <x:v>https://www.usccb.org/resources/2026cal.pdf
https://hallow.com/blog/how-to-pray-54-day-novena/
https://www.franciscantradition.org/blog/the-five-lents-of-francis-vjkyuy/</x:v>
      </x:c>
      <x:c r="O198" s="115" t="e">
        <x:f>HYPERLINK("https://bible.usccb.org/bible/readings/081826.cfm","USCCB readings ↗")</x:f>
        <x:v>HYPERLINK is not implemented. linkLocation=https://bible.usccb.org/bible/readings/081826.cfm, friendlyName=USCCB readings ↗</x:v>
      </x:c>
    </x:row>
    <x:row r="199">
      <x:c r="A199" s="38" t="n">
        <x:v>46253</x:v>
      </x:c>
      <x:c r="B199" t="str">
        <x:v>Wednesday</x:v>
      </x:c>
      <x:c r="C199" s="20" t="str">
        <x:v>Ordinary Time</x:v>
      </x:c>
      <x:c r="D199" t="str">
        <x:v>Weekday in Ordinary Time</x:v>
      </x:c>
      <x:c r="E199" t="str">
        <x:v>Weekday</x:v>
      </x:c>
      <x:c r="F199" s="14" t="str">
        <x:v>Saint John Eudes [Optional Memorial]</x:v>
      </x:c>
      <x:c r="G199" s="14" t="str">
        <x:v>✦ 🙏 📿 ⚔</x:v>
      </x:c>
      <x:c r="H199" s="14" t="str"/>
      <x:c r="I199" s="80" t="str">
        <x:v>📿 54-Day Rosary Novena — Day 5/54 — popular Assumption-to-Our-Lady-of-the-Rosary alignment
⚔ St. Michael's Lent — Franciscan/private devotional tradition; exact '40-day' reckoning varies</x:v>
      </x:c>
      <x:c r="J199" s="14" t="str"/>
      <x:c r="K199" s="14" t="str"/>
      <x:c r="L199" s="14" t="str"/>
      <x:c r="M199" s="14" t="str"/>
      <x:c r="N199" s="14" t="str">
        <x:v>https://www.usccb.org/resources/2026cal.pdf
https://hallow.com/blog/how-to-pray-54-day-novena/
https://www.franciscantradition.org/blog/the-five-lents-of-francis-vjkyuy/</x:v>
      </x:c>
      <x:c r="O199" s="115" t="e">
        <x:f>HYPERLINK("https://bible.usccb.org/bible/readings/081926.cfm","USCCB readings ↗")</x:f>
        <x:v>HYPERLINK is not implemented. linkLocation=https://bible.usccb.org/bible/readings/081926.cfm, friendlyName=USCCB readings ↗</x:v>
      </x:c>
    </x:row>
    <x:row r="200">
      <x:c r="A200" s="38" t="n">
        <x:v>46254</x:v>
      </x:c>
      <x:c r="B200" t="str">
        <x:v>Thursday</x:v>
      </x:c>
      <x:c r="C200" s="20" t="str">
        <x:v>Ordinary Time</x:v>
      </x:c>
      <x:c r="D200" t="str">
        <x:v>Saint Bernard</x:v>
      </x:c>
      <x:c r="E200" t="str">
        <x:v>Memorial</x:v>
      </x:c>
      <x:c r="F200" s="14" t="str">
        <x:v>Saint Bernard [Memorial]</x:v>
      </x:c>
      <x:c r="G200" s="14" t="str">
        <x:v>✦ 🙏 📿 ⚔</x:v>
      </x:c>
      <x:c r="H200" s="14" t="str"/>
      <x:c r="I200" s="80" t="str">
        <x:v>📿 54-Day Rosary Novena — Day 6/54 — popular Assumption-to-Our-Lady-of-the-Rosary alignment
⚔ St. Michael's Lent — Franciscan/private devotional tradition; exact '40-day' reckoning varies</x:v>
      </x:c>
      <x:c r="J200" s="14" t="str"/>
      <x:c r="K200" s="14" t="str"/>
      <x:c r="L200" s="14" t="str"/>
      <x:c r="M200" s="14" t="str"/>
      <x:c r="N200" s="14" t="str">
        <x:v>https://www.usccb.org/resources/2026cal.pdf
https://hallow.com/blog/how-to-pray-54-day-novena/
https://www.franciscantradition.org/blog/the-five-lents-of-francis-vjkyuy/</x:v>
      </x:c>
      <x:c r="O200" s="115" t="e">
        <x:f>HYPERLINK("https://bible.usccb.org/bible/readings/082026.cfm","USCCB readings ↗")</x:f>
        <x:v>HYPERLINK is not implemented. linkLocation=https://bible.usccb.org/bible/readings/082026.cfm, friendlyName=USCCB readings ↗</x:v>
      </x:c>
    </x:row>
    <x:row r="201">
      <x:c r="A201" s="38" t="n">
        <x:v>46255</x:v>
      </x:c>
      <x:c r="B201" t="str">
        <x:v>Friday</x:v>
      </x:c>
      <x:c r="C201" s="20" t="str">
        <x:v>Ordinary Time</x:v>
      </x:c>
      <x:c r="D201" t="str">
        <x:v>Saint Pius X</x:v>
      </x:c>
      <x:c r="E201" t="str">
        <x:v>Memorial</x:v>
      </x:c>
      <x:c r="F201" s="14" t="str">
        <x:v>Saint Pius X [Memorial]</x:v>
      </x:c>
      <x:c r="G201" s="14" t="str">
        <x:v>✦ 🙏 📿 ⚔ Ⓟ</x:v>
      </x:c>
      <x:c r="H201" s="14" t="str"/>
      <x:c r="I201" s="80" t="str">
        <x:v>📿 54-Day Rosary Novena — Day 7/54 — popular Assumption-to-Our-Lady-of-the-Rosary alignment
⚔ St. Michael's Lent — Franciscan/private devotional tradition; exact '40-day' reckoning varies</x:v>
      </x:c>
      <x:c r="J201" s="82" t="str">
        <x:v>Friday penance — outside Lent, U.S. Catholics may choose an appropriate penitential practice</x:v>
      </x:c>
      <x:c r="K201" s="14" t="str"/>
      <x:c r="L201" s="14" t="str"/>
      <x:c r="M201" s="14" t="str"/>
      <x:c r="N201" s="14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01" s="115" t="e">
        <x:f>HYPERLINK("https://bible.usccb.org/bible/readings/082126.cfm","USCCB readings ↗")</x:f>
        <x:v>HYPERLINK is not implemented. linkLocation=https://bible.usccb.org/bible/readings/082126.cfm, friendlyName=USCCB readings ↗</x:v>
      </x:c>
    </x:row>
    <x:row r="202">
      <x:c r="A202" s="38" t="n">
        <x:v>46256</x:v>
      </x:c>
      <x:c r="B202" t="str">
        <x:v>Saturday</x:v>
      </x:c>
      <x:c r="C202" s="20" t="str">
        <x:v>Ordinary Time</x:v>
      </x:c>
      <x:c r="D202" t="str">
        <x:v>Queenship of the Blessed Virgin Mary</x:v>
      </x:c>
      <x:c r="E202" t="str">
        <x:v>Memorial</x:v>
      </x:c>
      <x:c r="F202" s="76" t="str">
        <x:v>Queenship of the Blessed Virgin Mary [Memorial]</x:v>
      </x:c>
      <x:c r="G202" s="14" t="str">
        <x:v>🌹 🙏 📿 ⚔</x:v>
      </x:c>
      <x:c r="H202" s="14" t="str"/>
      <x:c r="I202" s="80" t="str">
        <x:v>📿 54-Day Rosary Novena — Day 8/54 — popular Assumption-to-Our-Lady-of-the-Rosary alignment
⚔ St. Michael's Lent — Franciscan/private devotional tradition; exact '40-day' reckoning varies</x:v>
      </x:c>
      <x:c r="J202" s="14" t="str"/>
      <x:c r="K202" s="14" t="str"/>
      <x:c r="L202" s="14" t="str"/>
      <x:c r="M202" s="14" t="str"/>
      <x:c r="N202" s="14" t="str">
        <x:v>https://www.usccb.org/resources/2026cal.pdf
https://hallow.com/blog/how-to-pray-54-day-novena/
https://www.franciscantradition.org/blog/the-five-lents-of-francis-vjkyuy/</x:v>
      </x:c>
      <x:c r="O202" s="115" t="e">
        <x:f>HYPERLINK("https://bible.usccb.org/bible/readings/082226.cfm","USCCB readings ↗")</x:f>
        <x:v>HYPERLINK is not implemented. linkLocation=https://bible.usccb.org/bible/readings/082226.cfm, friendlyName=USCCB readings ↗</x:v>
      </x:c>
    </x:row>
    <x:row r="203">
      <x:c r="A203" s="38" t="n">
        <x:v>46257</x:v>
      </x:c>
      <x:c r="B203" t="str">
        <x:v>Sunday</x:v>
      </x:c>
      <x:c r="C203" s="20" t="str">
        <x:v>Ordinary Time</x:v>
      </x:c>
      <x:c r="D203" t="str">
        <x:v>Twenty-First Sunday in Ordinary Time</x:v>
      </x:c>
      <x:c r="E203" t="str">
        <x:v>Sunday</x:v>
      </x:c>
      <x:c r="F203" s="14" t="str">
        <x:v>Saint Rose of Lima [Optional Memorial]</x:v>
      </x:c>
      <x:c r="G203" s="14" t="str">
        <x:v>✦ ⛪ 🙏 📿 ⚔</x:v>
      </x:c>
      <x:c r="H203" s="78" t="str">
        <x:v>⛪ Sunday Mass obligation</x:v>
      </x:c>
      <x:c r="I203" s="80" t="str">
        <x:v>📿 54-Day Rosary Novena — Day 9/54 — popular Assumption-to-Our-Lady-of-the-Rosary alignment
⚔ St. Michael's Lent — Franciscan/private devotional tradition; exact '40-day' reckoning varies</x:v>
      </x:c>
      <x:c r="J203" s="14" t="str"/>
      <x:c r="K203" s="14" t="str"/>
      <x:c r="L203" s="14" t="str"/>
      <x:c r="M203" s="14" t="str">
        <x:v>A fixed observance also falls today, but the Sunday or higher-ranking celebration takes liturgical precedence.</x:v>
      </x:c>
      <x:c r="N203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03" s="115" t="e">
        <x:f>HYPERLINK("https://bible.usccb.org/bible/readings/082326.cfm","USCCB readings ↗")</x:f>
        <x:v>HYPERLINK is not implemented. linkLocation=https://bible.usccb.org/bible/readings/082326.cfm, friendlyName=USCCB readings ↗</x:v>
      </x:c>
    </x:row>
    <x:row r="204">
      <x:c r="A204" s="38" t="n">
        <x:v>46258</x:v>
      </x:c>
      <x:c r="B204" t="str">
        <x:v>Monday</x:v>
      </x:c>
      <x:c r="C204" s="20" t="str">
        <x:v>Ordinary Time</x:v>
      </x:c>
      <x:c r="D204" t="str">
        <x:v>Saint Bartholomew, Apostle</x:v>
      </x:c>
      <x:c r="E204" t="str">
        <x:v>Feast</x:v>
      </x:c>
      <x:c r="F204" s="14" t="str">
        <x:v>Saint Bartholomew, Apostle [Feast]</x:v>
      </x:c>
      <x:c r="G204" s="14" t="str">
        <x:v>★ ✦ 🙏 📿 ⚔</x:v>
      </x:c>
      <x:c r="H204" s="14" t="str"/>
      <x:c r="I204" s="80" t="str">
        <x:v>📿 54-Day Rosary Novena — Day 10/54 — popular Assumption-to-Our-Lady-of-the-Rosary alignment
⚔ St. Michael's Lent — Franciscan/private devotional tradition; exact '40-day' reckoning varies</x:v>
      </x:c>
      <x:c r="J204" s="14" t="str"/>
      <x:c r="K204" s="14" t="str"/>
      <x:c r="L204" s="14" t="str"/>
      <x:c r="M204" s="14" t="str"/>
      <x:c r="N204" s="14" t="str">
        <x:v>https://www.usccb.org/resources/2026cal.pdf
https://hallow.com/blog/how-to-pray-54-day-novena/
https://www.franciscantradition.org/blog/the-five-lents-of-francis-vjkyuy/</x:v>
      </x:c>
      <x:c r="O204" s="115" t="e">
        <x:f>HYPERLINK("https://bible.usccb.org/bible/readings/082426.cfm","USCCB readings ↗")</x:f>
        <x:v>HYPERLINK is not implemented. linkLocation=https://bible.usccb.org/bible/readings/082426.cfm, friendlyName=USCCB readings ↗</x:v>
      </x:c>
    </x:row>
    <x:row r="205">
      <x:c r="A205" s="38" t="n">
        <x:v>46259</x:v>
      </x:c>
      <x:c r="B205" t="str">
        <x:v>Tuesday</x:v>
      </x:c>
      <x:c r="C205" s="20" t="str">
        <x:v>Ordinary Time</x:v>
      </x:c>
      <x:c r="D205" t="str">
        <x:v>Weekday in Ordinary Time</x:v>
      </x:c>
      <x:c r="E205" t="str">
        <x:v>Weekday</x:v>
      </x:c>
      <x:c r="F205" s="14" t="str">
        <x:v>Saint Louis; Saint Joseph Calasanz [Optional Memorial]</x:v>
      </x:c>
      <x:c r="G205" s="14" t="str">
        <x:v>✦ 🙏 📿 ⚔</x:v>
      </x:c>
      <x:c r="H205" s="14" t="str"/>
      <x:c r="I205" s="80" t="str">
        <x:v>📿 54-Day Rosary Novena — Day 11/54 — popular Assumption-to-Our-Lady-of-the-Rosary alignment
⚔ St. Michael's Lent — Franciscan/private devotional tradition; exact '40-day' reckoning varies</x:v>
      </x:c>
      <x:c r="J205" s="14" t="str"/>
      <x:c r="K205" s="14" t="str"/>
      <x:c r="L205" s="14" t="str"/>
      <x:c r="M205" s="14" t="str"/>
      <x:c r="N205" s="14" t="str">
        <x:v>https://www.usccb.org/resources/2026cal.pdf
https://hallow.com/blog/how-to-pray-54-day-novena/
https://www.franciscantradition.org/blog/the-five-lents-of-francis-vjkyuy/</x:v>
      </x:c>
      <x:c r="O205" s="115" t="e">
        <x:f>HYPERLINK("https://bible.usccb.org/bible/readings/082526.cfm","USCCB readings ↗")</x:f>
        <x:v>HYPERLINK is not implemented. linkLocation=https://bible.usccb.org/bible/readings/082526.cfm, friendlyName=USCCB readings ↗</x:v>
      </x:c>
    </x:row>
    <x:row r="206">
      <x:c r="A206" s="38" t="n">
        <x:v>46260</x:v>
      </x:c>
      <x:c r="B206" t="str">
        <x:v>Wednesday</x:v>
      </x:c>
      <x:c r="C206" s="20" t="str">
        <x:v>Ordinary Time</x:v>
      </x:c>
      <x:c r="D206" t="str">
        <x:v>Weekday in Ordinary Time</x:v>
      </x:c>
      <x:c r="E206" t="str">
        <x:v>Weekday</x:v>
      </x:c>
      <x:c r="F206" s="14" t="str"/>
      <x:c r="G206" s="14" t="str">
        <x:v>🙏 📿 ⚔</x:v>
      </x:c>
      <x:c r="H206" s="14" t="str"/>
      <x:c r="I206" s="80" t="str">
        <x:v>📿 54-Day Rosary Novena — Day 12/54 — popular Assumption-to-Our-Lady-of-the-Rosary alignment
⚔ St. Michael's Lent — Franciscan/private devotional tradition; exact '40-day' reckoning varies</x:v>
      </x:c>
      <x:c r="J206" s="14" t="str"/>
      <x:c r="K206" s="14" t="str"/>
      <x:c r="L206" s="14" t="str"/>
      <x:c r="M206" s="14" t="str"/>
      <x:c r="N206" s="14" t="str">
        <x:v>https://www.usccb.org/resources/2026cal.pdf
https://hallow.com/blog/how-to-pray-54-day-novena/
https://www.franciscantradition.org/blog/the-five-lents-of-francis-vjkyuy/</x:v>
      </x:c>
      <x:c r="O206" s="115" t="e">
        <x:f>HYPERLINK("https://bible.usccb.org/bible/readings/082626.cfm","USCCB readings ↗")</x:f>
        <x:v>HYPERLINK is not implemented. linkLocation=https://bible.usccb.org/bible/readings/082626.cfm, friendlyName=USCCB readings ↗</x:v>
      </x:c>
    </x:row>
    <x:row r="207">
      <x:c r="A207" s="38" t="n">
        <x:v>46261</x:v>
      </x:c>
      <x:c r="B207" t="str">
        <x:v>Thursday</x:v>
      </x:c>
      <x:c r="C207" s="20" t="str">
        <x:v>Ordinary Time</x:v>
      </x:c>
      <x:c r="D207" t="str">
        <x:v>Saint Monica</x:v>
      </x:c>
      <x:c r="E207" t="str">
        <x:v>Memorial</x:v>
      </x:c>
      <x:c r="F207" s="14" t="str">
        <x:v>Saint Monica [Memorial]</x:v>
      </x:c>
      <x:c r="G207" s="14" t="str">
        <x:v>✦ 🙏 📿 ⚔</x:v>
      </x:c>
      <x:c r="H207" s="14" t="str"/>
      <x:c r="I207" s="80" t="str">
        <x:v>📿 54-Day Rosary Novena — Day 13/54 — popular Assumption-to-Our-Lady-of-the-Rosary alignment
⚔ St. Michael's Lent — Franciscan/private devotional tradition; exact '40-day' reckoning varies</x:v>
      </x:c>
      <x:c r="J207" s="14" t="str"/>
      <x:c r="K207" s="14" t="str"/>
      <x:c r="L207" s="14" t="str"/>
      <x:c r="M207" s="14" t="str"/>
      <x:c r="N207" s="14" t="str">
        <x:v>https://www.usccb.org/resources/2026cal.pdf
https://hallow.com/blog/how-to-pray-54-day-novena/
https://www.franciscantradition.org/blog/the-five-lents-of-francis-vjkyuy/</x:v>
      </x:c>
      <x:c r="O207" s="115" t="e">
        <x:f>HYPERLINK("https://bible.usccb.org/bible/readings/082726.cfm","USCCB readings ↗")</x:f>
        <x:v>HYPERLINK is not implemented. linkLocation=https://bible.usccb.org/bible/readings/082726.cfm, friendlyName=USCCB readings ↗</x:v>
      </x:c>
    </x:row>
    <x:row r="208">
      <x:c r="A208" s="38" t="n">
        <x:v>46262</x:v>
      </x:c>
      <x:c r="B208" t="str">
        <x:v>Friday</x:v>
      </x:c>
      <x:c r="C208" s="20" t="str">
        <x:v>Ordinary Time</x:v>
      </x:c>
      <x:c r="D208" t="str">
        <x:v>Saint Augustine</x:v>
      </x:c>
      <x:c r="E208" t="str">
        <x:v>Memorial</x:v>
      </x:c>
      <x:c r="F208" s="14" t="str">
        <x:v>Saint Augustine [Memorial]</x:v>
      </x:c>
      <x:c r="G208" s="14" t="str">
        <x:v>✦ 🙏 📿 ⚔ Ⓟ</x:v>
      </x:c>
      <x:c r="H208" s="14" t="str"/>
      <x:c r="I208" s="80" t="str">
        <x:v>📿 54-Day Rosary Novena — Day 14/54 — popular Assumption-to-Our-Lady-of-the-Rosary alignment
⚔ St. Michael's Lent — Franciscan/private devotional tradition; exact '40-day' reckoning varies</x:v>
      </x:c>
      <x:c r="J208" s="82" t="str">
        <x:v>Friday penance — outside Lent, U.S. Catholics may choose an appropriate penitential practice</x:v>
      </x:c>
      <x:c r="K208" s="14" t="str"/>
      <x:c r="L208" s="14" t="str"/>
      <x:c r="M208" s="14" t="str"/>
      <x:c r="N208" s="14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08" s="115" t="e">
        <x:f>HYPERLINK("https://bible.usccb.org/bible/readings/082826.cfm","USCCB readings ↗")</x:f>
        <x:v>HYPERLINK is not implemented. linkLocation=https://bible.usccb.org/bible/readings/082826.cfm, friendlyName=USCCB readings ↗</x:v>
      </x:c>
    </x:row>
    <x:row r="209">
      <x:c r="A209" s="38" t="n">
        <x:v>46263</x:v>
      </x:c>
      <x:c r="B209" t="str">
        <x:v>Saturday</x:v>
      </x:c>
      <x:c r="C209" s="20" t="str">
        <x:v>Ordinary Time</x:v>
      </x:c>
      <x:c r="D209" t="str">
        <x:v>Passion of Saint John the Baptist</x:v>
      </x:c>
      <x:c r="E209" t="str">
        <x:v>Memorial</x:v>
      </x:c>
      <x:c r="F209" s="14" t="str">
        <x:v>Passion of Saint John the Baptist [Memorial]</x:v>
      </x:c>
      <x:c r="G209" s="14" t="str">
        <x:v>✦ 🙏 📿 ⚔</x:v>
      </x:c>
      <x:c r="H209" s="14" t="str"/>
      <x:c r="I209" s="80" t="str">
        <x:v>📿 54-Day Rosary Novena — Day 15/54 — popular Assumption-to-Our-Lady-of-the-Rosary alignment
⚔ St. Michael's Lent — Franciscan/private devotional tradition; exact '40-day' reckoning varies</x:v>
      </x:c>
      <x:c r="J209" s="14" t="str"/>
      <x:c r="K209" s="14" t="str"/>
      <x:c r="L209" s="14" t="str"/>
      <x:c r="M209" s="14" t="str"/>
      <x:c r="N209" s="14" t="str">
        <x:v>https://www.usccb.org/resources/2026cal.pdf
https://hallow.com/blog/how-to-pray-54-day-novena/
https://www.franciscantradition.org/blog/the-five-lents-of-francis-vjkyuy/</x:v>
      </x:c>
      <x:c r="O209" s="115" t="e">
        <x:f>HYPERLINK("https://bible.usccb.org/bible/readings/082926.cfm","USCCB readings ↗")</x:f>
        <x:v>HYPERLINK is not implemented. linkLocation=https://bible.usccb.org/bible/readings/082926.cfm, friendlyName=USCCB readings ↗</x:v>
      </x:c>
    </x:row>
    <x:row r="210">
      <x:c r="A210" s="38" t="n">
        <x:v>46264</x:v>
      </x:c>
      <x:c r="B210" t="str">
        <x:v>Sunday</x:v>
      </x:c>
      <x:c r="C210" s="20" t="str">
        <x:v>Ordinary Time</x:v>
      </x:c>
      <x:c r="D210" t="str">
        <x:v>Twenty-Second Sunday in Ordinary Time</x:v>
      </x:c>
      <x:c r="E210" t="str">
        <x:v>Sunday</x:v>
      </x:c>
      <x:c r="F210" s="14" t="str"/>
      <x:c r="G210" s="14" t="str">
        <x:v>⛪ 🙏 📿 ⚔</x:v>
      </x:c>
      <x:c r="H210" s="78" t="str">
        <x:v>⛪ Sunday Mass obligation</x:v>
      </x:c>
      <x:c r="I210" s="80" t="str">
        <x:v>📿 54-Day Rosary Novena — Day 16/54 — popular Assumption-to-Our-Lady-of-the-Rosary alignment
⚔ St. Michael's Lent — Franciscan/private devotional tradition; exact '40-day' reckoning varies</x:v>
      </x:c>
      <x:c r="J210" s="14" t="str"/>
      <x:c r="K210" s="14" t="str"/>
      <x:c r="L210" s="14" t="str"/>
      <x:c r="M210" s="14" t="str"/>
      <x:c r="N210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10" s="115" t="e">
        <x:f>HYPERLINK("https://bible.usccb.org/bible/readings/083026.cfm","USCCB readings ↗")</x:f>
        <x:v>HYPERLINK is not implemented. linkLocation=https://bible.usccb.org/bible/readings/083026.cfm, friendlyName=USCCB readings ↗</x:v>
      </x:c>
    </x:row>
    <x:row r="211">
      <x:c r="A211" s="38" t="n">
        <x:v>46265</x:v>
      </x:c>
      <x:c r="B211" t="str">
        <x:v>Monday</x:v>
      </x:c>
      <x:c r="C211" s="20" t="str">
        <x:v>Ordinary Time</x:v>
      </x:c>
      <x:c r="D211" t="str">
        <x:v>Weekday in Ordinary Time</x:v>
      </x:c>
      <x:c r="E211" t="str">
        <x:v>Weekday</x:v>
      </x:c>
      <x:c r="F211" s="14" t="str"/>
      <x:c r="G211" s="14" t="str">
        <x:v>🙏 📿 ⚔</x:v>
      </x:c>
      <x:c r="H211" s="14" t="str"/>
      <x:c r="I211" s="80" t="str">
        <x:v>📿 54-Day Rosary Novena — Day 17/54 — popular Assumption-to-Our-Lady-of-the-Rosary alignment
⚔ St. Michael's Lent — Franciscan/private devotional tradition; exact '40-day' reckoning varies</x:v>
      </x:c>
      <x:c r="J211" s="14" t="str"/>
      <x:c r="K211" s="14" t="str"/>
      <x:c r="L211" s="14" t="str"/>
      <x:c r="M211" s="14" t="str"/>
      <x:c r="N211" s="14" t="str">
        <x:v>https://www.usccb.org/resources/2026cal.pdf
https://hallow.com/blog/how-to-pray-54-day-novena/
https://www.franciscantradition.org/blog/the-five-lents-of-francis-vjkyuy/</x:v>
      </x:c>
      <x:c r="O211" s="115" t="e">
        <x:f>HYPERLINK("https://bible.usccb.org/bible/readings/083126.cfm","USCCB readings ↗")</x:f>
        <x:v>HYPERLINK is not implemented. linkLocation=https://bible.usccb.org/bible/readings/083126.cfm, friendlyName=USCCB readings ↗</x:v>
      </x:c>
    </x:row>
    <x:row r="212">
      <x:c r="A212" s="38" t="n">
        <x:v>46266</x:v>
      </x:c>
      <x:c r="B212" t="str">
        <x:v>Tuesday</x:v>
      </x:c>
      <x:c r="C212" s="20" t="str">
        <x:v>Ordinary Time</x:v>
      </x:c>
      <x:c r="D212" t="str">
        <x:v>Weekday in Ordinary Time</x:v>
      </x:c>
      <x:c r="E212" t="str">
        <x:v>Weekday</x:v>
      </x:c>
      <x:c r="F212" s="14" t="str"/>
      <x:c r="G212" s="14" t="str">
        <x:v>🙏 📿 ⚔</x:v>
      </x:c>
      <x:c r="H212" s="14" t="str"/>
      <x:c r="I212" s="80" t="str">
        <x:v>📿 54-Day Rosary Novena — Day 18/54 — popular Assumption-to-Our-Lady-of-the-Rosary alignment
⚔ St. Michael's Lent — Franciscan/private devotional tradition; exact '40-day' reckoning varies</x:v>
      </x:c>
      <x:c r="J212" s="14" t="str"/>
      <x:c r="K212" s="14" t="str"/>
      <x:c r="L212" s="14" t="str"/>
      <x:c r="M212" s="14" t="str"/>
      <x:c r="N212" s="14" t="str">
        <x:v>https://www.usccb.org/resources/2026cal.pdf
https://hallow.com/blog/how-to-pray-54-day-novena/
https://www.franciscantradition.org/blog/the-five-lents-of-francis-vjkyuy/</x:v>
      </x:c>
      <x:c r="O212" s="115" t="e">
        <x:f>HYPERLINK("https://bible.usccb.org/bible/readings/090126.cfm","USCCB readings ↗")</x:f>
        <x:v>HYPERLINK is not implemented. linkLocation=https://bible.usccb.org/bible/readings/090126.cfm, friendlyName=USCCB readings ↗</x:v>
      </x:c>
    </x:row>
    <x:row r="213">
      <x:c r="A213" s="38" t="n">
        <x:v>46267</x:v>
      </x:c>
      <x:c r="B213" t="str">
        <x:v>Wednesday</x:v>
      </x:c>
      <x:c r="C213" s="20" t="str">
        <x:v>Ordinary Time</x:v>
      </x:c>
      <x:c r="D213" t="str">
        <x:v>Weekday in Ordinary Time</x:v>
      </x:c>
      <x:c r="E213" t="str">
        <x:v>Weekday</x:v>
      </x:c>
      <x:c r="F213" s="14" t="str"/>
      <x:c r="G213" s="14" t="str">
        <x:v>🙏 📿 ⚔</x:v>
      </x:c>
      <x:c r="H213" s="14" t="str"/>
      <x:c r="I213" s="80" t="str">
        <x:v>📿 54-Day Rosary Novena — Day 19/54 — popular Assumption-to-Our-Lady-of-the-Rosary alignment
⚔ St. Michael's Lent — Franciscan/private devotional tradition; exact '40-day' reckoning varies</x:v>
      </x:c>
      <x:c r="J213" s="14" t="str"/>
      <x:c r="K213" s="14" t="str"/>
      <x:c r="L213" s="14" t="str"/>
      <x:c r="M213" s="14" t="str"/>
      <x:c r="N213" s="14" t="str">
        <x:v>https://www.usccb.org/resources/2026cal.pdf
https://hallow.com/blog/how-to-pray-54-day-novena/
https://www.franciscantradition.org/blog/the-five-lents-of-francis-vjkyuy/</x:v>
      </x:c>
      <x:c r="O213" s="115" t="e">
        <x:f>HYPERLINK("https://bible.usccb.org/bible/readings/090226.cfm","USCCB readings ↗")</x:f>
        <x:v>HYPERLINK is not implemented. linkLocation=https://bible.usccb.org/bible/readings/090226.cfm, friendlyName=USCCB readings ↗</x:v>
      </x:c>
    </x:row>
    <x:row r="214">
      <x:c r="A214" s="38" t="n">
        <x:v>46268</x:v>
      </x:c>
      <x:c r="B214" t="str">
        <x:v>Thursday</x:v>
      </x:c>
      <x:c r="C214" s="20" t="str">
        <x:v>Ordinary Time</x:v>
      </x:c>
      <x:c r="D214" t="str">
        <x:v>Saint Gregory the Great</x:v>
      </x:c>
      <x:c r="E214" t="str">
        <x:v>Memorial</x:v>
      </x:c>
      <x:c r="F214" s="14" t="str">
        <x:v>Saint Gregory the Great [Memorial]</x:v>
      </x:c>
      <x:c r="G214" s="14" t="str">
        <x:v>✦ 🙏 📿 ⚔</x:v>
      </x:c>
      <x:c r="H214" s="14" t="str"/>
      <x:c r="I214" s="80" t="str">
        <x:v>📿 54-Day Rosary Novena — Day 20/54 — popular Assumption-to-Our-Lady-of-the-Rosary alignment
⚔ St. Michael's Lent — Franciscan/private devotional tradition; exact '40-day' reckoning varies</x:v>
      </x:c>
      <x:c r="J214" s="14" t="str"/>
      <x:c r="K214" s="14" t="str"/>
      <x:c r="L214" s="14" t="str"/>
      <x:c r="M214" s="14" t="str"/>
      <x:c r="N214" s="14" t="str">
        <x:v>https://www.usccb.org/resources/2026cal.pdf
https://hallow.com/blog/how-to-pray-54-day-novena/
https://www.franciscantradition.org/blog/the-five-lents-of-francis-vjkyuy/</x:v>
      </x:c>
      <x:c r="O214" s="115" t="e">
        <x:f>HYPERLINK("https://bible.usccb.org/bible/readings/090326.cfm","USCCB readings ↗")</x:f>
        <x:v>HYPERLINK is not implemented. linkLocation=https://bible.usccb.org/bible/readings/090326.cfm, friendlyName=USCCB readings ↗</x:v>
      </x:c>
    </x:row>
    <x:row r="215">
      <x:c r="A215" s="38" t="n">
        <x:v>46269</x:v>
      </x:c>
      <x:c r="B215" t="str">
        <x:v>Friday</x:v>
      </x:c>
      <x:c r="C215" s="20" t="str">
        <x:v>Ordinary Time</x:v>
      </x:c>
      <x:c r="D215" t="str">
        <x:v>Weekday in Ordinary Time</x:v>
      </x:c>
      <x:c r="E215" t="str">
        <x:v>Weekday</x:v>
      </x:c>
      <x:c r="F215" s="14" t="str"/>
      <x:c r="G215" s="14" t="str">
        <x:v>🙏 📿 ⚔ Ⓟ</x:v>
      </x:c>
      <x:c r="H215" s="14" t="str"/>
      <x:c r="I215" s="80" t="str">
        <x:v>📿 54-Day Rosary Novena — Day 21/54 — popular Assumption-to-Our-Lady-of-the-Rosary alignment
⚔ St. Michael's Lent — Franciscan/private devotional tradition; exact '40-day' reckoning varies
❤ First Friday — Sacred Heart devotion</x:v>
      </x:c>
      <x:c r="J215" s="82" t="str">
        <x:v>Friday penance — outside Lent, U.S. Catholics may choose an appropriate penitential practice</x:v>
      </x:c>
      <x:c r="K215" s="14" t="str"/>
      <x:c r="L215" s="14" t="str"/>
      <x:c r="M215" s="14" t="str"/>
      <x:c r="N215" s="14" t="str">
        <x:v>https://www.usccb.org/resources/2026cal.pdf
https://hallow.com/blog/how-to-pray-54-day-novena/
https://www.franciscantradition.org/blog/the-five-lents-of-francis-vjkyuy/
https://www.ewtn.com/catholicism/library/first-friday-devotion-to-sacred-heart-4692
https://www.usccb.org/prayer-and-worship/liturgical-year-and-calendar/lent/catholic-information-on-lenten-fast-and-abstinence</x:v>
      </x:c>
      <x:c r="O215" s="115" t="e">
        <x:f>HYPERLINK("https://bible.usccb.org/bible/readings/090426.cfm","USCCB readings ↗")</x:f>
        <x:v>HYPERLINK is not implemented. linkLocation=https://bible.usccb.org/bible/readings/090426.cfm, friendlyName=USCCB readings ↗</x:v>
      </x:c>
    </x:row>
    <x:row r="216">
      <x:c r="A216" s="38" t="n">
        <x:v>46270</x:v>
      </x:c>
      <x:c r="B216" t="str">
        <x:v>Saturday</x:v>
      </x:c>
      <x:c r="C216" s="20" t="str">
        <x:v>Ordinary Time</x:v>
      </x:c>
      <x:c r="D216" t="str">
        <x:v>Weekday in Ordinary Time</x:v>
      </x:c>
      <x:c r="E216" t="str">
        <x:v>Weekday</x:v>
      </x:c>
      <x:c r="F216" s="76" t="str">
        <x:v>Saint Teresa of Calcutta [Optional Memorial]</x:v>
      </x:c>
      <x:c r="G216" s="14" t="str">
        <x:v>✦ 🙏 📿 ⚔ 🌹</x:v>
      </x:c>
      <x:c r="H216" s="14" t="str"/>
      <x:c r="I216" s="80" t="str">
        <x:v>📿 54-Day Rosary Novena — Day 22/54 — popular Assumption-to-Our-Lady-of-the-Rosary alignment
⚔ St. Michael's Lent — Franciscan/private devotional tradition; exact '40-day' reckoning varies
🌹 First Saturday — Immaculate Heart devotion</x:v>
      </x:c>
      <x:c r="J216" s="14" t="str"/>
      <x:c r="K216" s="14" t="str"/>
      <x:c r="L216" s="14" t="str"/>
      <x:c r="M216" s="14" t="str"/>
      <x:c r="N216" s="14" t="str">
        <x:v>https://www.usccb.org/resources/2026cal.pdf
https://hallow.com/blog/how-to-pray-54-day-novena/
https://www.franciscantradition.org/blog/the-five-lents-of-francis-vjkyuy/
https://www.ewtn.com/catholicism/library/revelation-of-the-immaculate-heart-at-fatima-in-1917-5465</x:v>
      </x:c>
      <x:c r="O216" s="115" t="e">
        <x:f>HYPERLINK("https://bible.usccb.org/bible/readings/090526.cfm","USCCB readings ↗")</x:f>
        <x:v>HYPERLINK is not implemented. linkLocation=https://bible.usccb.org/bible/readings/090526.cfm, friendlyName=USCCB readings ↗</x:v>
      </x:c>
    </x:row>
    <x:row r="217">
      <x:c r="A217" s="38" t="n">
        <x:v>46271</x:v>
      </x:c>
      <x:c r="B217" t="str">
        <x:v>Sunday</x:v>
      </x:c>
      <x:c r="C217" s="20" t="str">
        <x:v>Ordinary Time</x:v>
      </x:c>
      <x:c r="D217" t="str">
        <x:v>Twenty-Third Sunday in Ordinary Time</x:v>
      </x:c>
      <x:c r="E217" t="str">
        <x:v>Sunday</x:v>
      </x:c>
      <x:c r="F217" s="14" t="str"/>
      <x:c r="G217" s="14" t="str">
        <x:v>⛪ 🙏 📿 ⚔</x:v>
      </x:c>
      <x:c r="H217" s="78" t="str">
        <x:v>⛪ Sunday Mass obligation</x:v>
      </x:c>
      <x:c r="I217" s="80" t="str">
        <x:v>📿 54-Day Rosary Novena — Day 23/54 — popular Assumption-to-Our-Lady-of-the-Rosary alignment
⚔ St. Michael's Lent — Franciscan/private devotional tradition; exact '40-day' reckoning varies</x:v>
      </x:c>
      <x:c r="J217" s="14" t="str"/>
      <x:c r="K217" s="14" t="str"/>
      <x:c r="L217" s="14" t="str"/>
      <x:c r="M217" s="14" t="str"/>
      <x:c r="N217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17" s="115" t="e">
        <x:f>HYPERLINK("https://bible.usccb.org/bible/readings/090626.cfm","USCCB readings ↗")</x:f>
        <x:v>HYPERLINK is not implemented. linkLocation=https://bible.usccb.org/bible/readings/090626.cfm, friendlyName=USCCB readings ↗</x:v>
      </x:c>
    </x:row>
    <x:row r="218">
      <x:c r="A218" s="38" t="n">
        <x:v>46272</x:v>
      </x:c>
      <x:c r="B218" t="str">
        <x:v>Monday</x:v>
      </x:c>
      <x:c r="C218" s="20" t="str">
        <x:v>Ordinary Time</x:v>
      </x:c>
      <x:c r="D218" t="str">
        <x:v>Weekday in Ordinary Time</x:v>
      </x:c>
      <x:c r="E218" t="str">
        <x:v>Weekday</x:v>
      </x:c>
      <x:c r="F218" s="14" t="str"/>
      <x:c r="G218" s="14" t="str">
        <x:v>🙏 📿 ⚔</x:v>
      </x:c>
      <x:c r="H218" s="14" t="str"/>
      <x:c r="I218" s="80" t="str">
        <x:v>📿 54-Day Rosary Novena — Day 24/54 — popular Assumption-to-Our-Lady-of-the-Rosary alignment
⚔ St. Michael's Lent — Franciscan/private devotional tradition; exact '40-day' reckoning varies</x:v>
      </x:c>
      <x:c r="J218" s="14" t="str"/>
      <x:c r="K218" s="14" t="str"/>
      <x:c r="L218" s="14" t="str"/>
      <x:c r="M218" s="14" t="str"/>
      <x:c r="N218" s="14" t="str">
        <x:v>https://www.usccb.org/resources/2026cal.pdf
https://hallow.com/blog/how-to-pray-54-day-novena/
https://www.franciscantradition.org/blog/the-five-lents-of-francis-vjkyuy/</x:v>
      </x:c>
      <x:c r="O218" s="115" t="e">
        <x:f>HYPERLINK("https://bible.usccb.org/bible/readings/090726.cfm","USCCB readings ↗")</x:f>
        <x:v>HYPERLINK is not implemented. linkLocation=https://bible.usccb.org/bible/readings/090726.cfm, friendlyName=USCCB readings ↗</x:v>
      </x:c>
    </x:row>
    <x:row r="219">
      <x:c r="A219" s="38" t="n">
        <x:v>46273</x:v>
      </x:c>
      <x:c r="B219" t="str">
        <x:v>Tuesday</x:v>
      </x:c>
      <x:c r="C219" s="20" t="str">
        <x:v>Ordinary Time</x:v>
      </x:c>
      <x:c r="D219" t="str">
        <x:v>Nativity of the Blessed Virgin Mary</x:v>
      </x:c>
      <x:c r="E219" t="str">
        <x:v>Feast</x:v>
      </x:c>
      <x:c r="F219" s="76" t="str">
        <x:v>Nativity of the Blessed Virgin Mary [Feast]</x:v>
      </x:c>
      <x:c r="G219" s="14" t="str">
        <x:v>★ 🌹 🙏 📿 ⚔</x:v>
      </x:c>
      <x:c r="H219" s="14" t="str"/>
      <x:c r="I219" s="80" t="str">
        <x:v>📿 54-Day Rosary Novena — Day 25/54 — popular Assumption-to-Our-Lady-of-the-Rosary alignment
⚔ St. Michael's Lent — Franciscan/private devotional tradition; exact '40-day' reckoning varies</x:v>
      </x:c>
      <x:c r="J219" s="14" t="str"/>
      <x:c r="K219" s="14" t="str"/>
      <x:c r="L219" s="14" t="str"/>
      <x:c r="M219" s="14" t="str"/>
      <x:c r="N219" s="14" t="str">
        <x:v>https://www.usccb.org/resources/2026cal.pdf
https://hallow.com/blog/how-to-pray-54-day-novena/
https://www.franciscantradition.org/blog/the-five-lents-of-francis-vjkyuy/</x:v>
      </x:c>
      <x:c r="O219" s="115" t="e">
        <x:f>HYPERLINK("https://bible.usccb.org/bible/readings/090826.cfm","USCCB readings ↗")</x:f>
        <x:v>HYPERLINK is not implemented. linkLocation=https://bible.usccb.org/bible/readings/090826.cfm, friendlyName=USCCB readings ↗</x:v>
      </x:c>
    </x:row>
    <x:row r="220">
      <x:c r="A220" s="38" t="n">
        <x:v>46274</x:v>
      </x:c>
      <x:c r="B220" t="str">
        <x:v>Wednesday</x:v>
      </x:c>
      <x:c r="C220" s="20" t="str">
        <x:v>Ordinary Time</x:v>
      </x:c>
      <x:c r="D220" t="str">
        <x:v>Saint Peter Claver</x:v>
      </x:c>
      <x:c r="E220" t="str">
        <x:v>Memorial</x:v>
      </x:c>
      <x:c r="F220" s="14" t="str">
        <x:v>Saint Peter Claver [Memorial]</x:v>
      </x:c>
      <x:c r="G220" s="14" t="str">
        <x:v>✦ 🙏 📿 ⚔</x:v>
      </x:c>
      <x:c r="H220" s="14" t="str"/>
      <x:c r="I220" s="80" t="str">
        <x:v>📿 54-Day Rosary Novena — Day 26/54 — popular Assumption-to-Our-Lady-of-the-Rosary alignment
⚔ St. Michael's Lent — Franciscan/private devotional tradition; exact '40-day' reckoning varies</x:v>
      </x:c>
      <x:c r="J220" s="14" t="str"/>
      <x:c r="K220" s="14" t="str"/>
      <x:c r="L220" s="14" t="str"/>
      <x:c r="M220" s="14" t="str"/>
      <x:c r="N220" s="14" t="str">
        <x:v>https://www.usccb.org/resources/2026cal.pdf
https://hallow.com/blog/how-to-pray-54-day-novena/
https://www.franciscantradition.org/blog/the-five-lents-of-francis-vjkyuy/</x:v>
      </x:c>
      <x:c r="O220" s="115" t="e">
        <x:f>HYPERLINK("https://bible.usccb.org/bible/readings/090926.cfm","USCCB readings ↗")</x:f>
        <x:v>HYPERLINK is not implemented. linkLocation=https://bible.usccb.org/bible/readings/090926.cfm, friendlyName=USCCB readings ↗</x:v>
      </x:c>
    </x:row>
    <x:row r="221">
      <x:c r="A221" s="38" t="n">
        <x:v>46275</x:v>
      </x:c>
      <x:c r="B221" t="str">
        <x:v>Thursday</x:v>
      </x:c>
      <x:c r="C221" s="20" t="str">
        <x:v>Ordinary Time</x:v>
      </x:c>
      <x:c r="D221" t="str">
        <x:v>Weekday in Ordinary Time</x:v>
      </x:c>
      <x:c r="E221" t="str">
        <x:v>Weekday</x:v>
      </x:c>
      <x:c r="F221" s="14" t="str"/>
      <x:c r="G221" s="14" t="str">
        <x:v>🙏 📿 ⚔</x:v>
      </x:c>
      <x:c r="H221" s="14" t="str"/>
      <x:c r="I221" s="80" t="str">
        <x:v>📿 54-Day Rosary Novena — Day 27/54 — popular Assumption-to-Our-Lady-of-the-Rosary alignment
⚔ St. Michael's Lent — Franciscan/private devotional tradition; exact '40-day' reckoning varies</x:v>
      </x:c>
      <x:c r="J221" s="14" t="str"/>
      <x:c r="K221" s="14" t="str"/>
      <x:c r="L221" s="14" t="str"/>
      <x:c r="M221" s="14" t="str"/>
      <x:c r="N221" s="14" t="str">
        <x:v>https://www.usccb.org/resources/2026cal.pdf
https://hallow.com/blog/how-to-pray-54-day-novena/
https://www.franciscantradition.org/blog/the-five-lents-of-francis-vjkyuy/</x:v>
      </x:c>
      <x:c r="O221" s="115" t="e">
        <x:f>HYPERLINK("https://bible.usccb.org/bible/readings/091026.cfm","USCCB readings ↗")</x:f>
        <x:v>HYPERLINK is not implemented. linkLocation=https://bible.usccb.org/bible/readings/091026.cfm, friendlyName=USCCB readings ↗</x:v>
      </x:c>
    </x:row>
    <x:row r="222">
      <x:c r="A222" s="38" t="n">
        <x:v>46276</x:v>
      </x:c>
      <x:c r="B222" t="str">
        <x:v>Friday</x:v>
      </x:c>
      <x:c r="C222" s="20" t="str">
        <x:v>Ordinary Time</x:v>
      </x:c>
      <x:c r="D222" t="str">
        <x:v>Weekday in Ordinary Time</x:v>
      </x:c>
      <x:c r="E222" t="str">
        <x:v>Weekday</x:v>
      </x:c>
      <x:c r="F222" s="14" t="str"/>
      <x:c r="G222" s="14" t="str">
        <x:v>🙏 📿 ⚔ Ⓟ</x:v>
      </x:c>
      <x:c r="H222" s="14" t="str"/>
      <x:c r="I222" s="80" t="str">
        <x:v>📿 54-Day Rosary Novena — Day 28/54 — popular Assumption-to-Our-Lady-of-the-Rosary alignment
⚔ St. Michael's Lent — Franciscan/private devotional tradition; exact '40-day' reckoning varies</x:v>
      </x:c>
      <x:c r="J222" s="82" t="str">
        <x:v>Friday penance — outside Lent, U.S. Catholics may choose an appropriate penitential practice</x:v>
      </x:c>
      <x:c r="K222" s="14" t="str"/>
      <x:c r="L222" s="14" t="str"/>
      <x:c r="M222" s="14" t="str"/>
      <x:c r="N222" s="14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</x:v>
      </x:c>
      <x:c r="O222" s="115" t="e">
        <x:f>HYPERLINK("https://bible.usccb.org/bible/readings/091126.cfm","USCCB readings ↗")</x:f>
        <x:v>HYPERLINK is not implemented. linkLocation=https://bible.usccb.org/bible/readings/091126.cfm, friendlyName=USCCB readings ↗</x:v>
      </x:c>
    </x:row>
    <x:row r="223">
      <x:c r="A223" s="38" t="n">
        <x:v>46277</x:v>
      </x:c>
      <x:c r="B223" t="str">
        <x:v>Saturday</x:v>
      </x:c>
      <x:c r="C223" s="20" t="str">
        <x:v>Ordinary Time</x:v>
      </x:c>
      <x:c r="D223" t="str">
        <x:v>Weekday in Ordinary Time</x:v>
      </x:c>
      <x:c r="E223" t="str">
        <x:v>Weekday</x:v>
      </x:c>
      <x:c r="F223" s="76" t="str">
        <x:v>Most Holy Name of Mary [Optional Memorial]</x:v>
      </x:c>
      <x:c r="G223" s="14" t="str">
        <x:v>🌹 🙏 📿 ⚔</x:v>
      </x:c>
      <x:c r="H223" s="14" t="str"/>
      <x:c r="I223" s="80" t="str">
        <x:v>📿 54-Day Rosary Novena — Day 29/54 — popular Assumption-to-Our-Lady-of-the-Rosary alignment
⚔ St. Michael's Lent — Franciscan/private devotional tradition; exact '40-day' reckoning varies</x:v>
      </x:c>
      <x:c r="J223" s="14" t="str"/>
      <x:c r="K223" s="14" t="str"/>
      <x:c r="L223" s="14" t="str"/>
      <x:c r="M223" s="14" t="str"/>
      <x:c r="N223" s="14" t="str">
        <x:v>https://www.usccb.org/resources/2026cal.pdf
https://hallow.com/blog/how-to-pray-54-day-novena/
https://www.franciscantradition.org/blog/the-five-lents-of-francis-vjkyuy/</x:v>
      </x:c>
      <x:c r="O223" s="115" t="e">
        <x:f>HYPERLINK("https://bible.usccb.org/bible/readings/091226.cfm","USCCB readings ↗")</x:f>
        <x:v>HYPERLINK is not implemented. linkLocation=https://bible.usccb.org/bible/readings/091226.cfm, friendlyName=USCCB readings ↗</x:v>
      </x:c>
    </x:row>
    <x:row r="224">
      <x:c r="A224" s="38" t="n">
        <x:v>46278</x:v>
      </x:c>
      <x:c r="B224" t="str">
        <x:v>Sunday</x:v>
      </x:c>
      <x:c r="C224" s="20" t="str">
        <x:v>Ordinary Time</x:v>
      </x:c>
      <x:c r="D224" t="str">
        <x:v>Twenty-Fourth Sunday in Ordinary Time</x:v>
      </x:c>
      <x:c r="E224" t="str">
        <x:v>Sunday</x:v>
      </x:c>
      <x:c r="F224" s="14" t="str">
        <x:v>Saint John Chrysostom [Memorial]</x:v>
      </x:c>
      <x:c r="G224" s="14" t="str">
        <x:v>✦ ⛪ 🙏 📿 ⚔</x:v>
      </x:c>
      <x:c r="H224" s="78" t="str">
        <x:v>⛪ Sunday Mass obligation</x:v>
      </x:c>
      <x:c r="I224" s="80" t="str">
        <x:v>📿 54-Day Rosary Novena — Day 30/54 — popular Assumption-to-Our-Lady-of-the-Rosary alignment
⚔ St. Michael's Lent — Franciscan/private devotional tradition; exact '40-day' reckoning varies</x:v>
      </x:c>
      <x:c r="J224" s="14" t="str"/>
      <x:c r="K224" s="14" t="str"/>
      <x:c r="L224" s="14" t="str"/>
      <x:c r="M224" s="14" t="str">
        <x:v>A fixed observance also falls today, but the Sunday or higher-ranking celebration takes liturgical precedence.</x:v>
      </x:c>
      <x:c r="N224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</x:v>
      </x:c>
      <x:c r="O224" s="115" t="e">
        <x:f>HYPERLINK("https://bible.usccb.org/bible/readings/091326.cfm","USCCB readings ↗")</x:f>
        <x:v>HYPERLINK is not implemented. linkLocation=https://bible.usccb.org/bible/readings/091326.cfm, friendlyName=USCCB readings ↗</x:v>
      </x:c>
    </x:row>
    <x:row r="225">
      <x:c r="A225" s="38" t="n">
        <x:v>46279</x:v>
      </x:c>
      <x:c r="B225" t="str">
        <x:v>Monday</x:v>
      </x:c>
      <x:c r="C225" s="20" t="str">
        <x:v>Ordinary Time</x:v>
      </x:c>
      <x:c r="D225" t="str">
        <x:v>Exaltation of the Holy Cross</x:v>
      </x:c>
      <x:c r="E225" t="str">
        <x:v>Feast</x:v>
      </x:c>
      <x:c r="F225" s="14" t="str">
        <x:v>Exaltation of the Holy Cross [Feast]</x:v>
      </x:c>
      <x:c r="G225" s="14" t="str">
        <x:v>★ ✝ 🙏 📿 ⚔</x:v>
      </x:c>
      <x:c r="H225" s="14" t="str"/>
      <x:c r="I225" s="80" t="str">
        <x:v>📿 54-Day Rosary Novena — Day 31/54 — popular Assumption-to-Our-Lady-of-the-Rosary alignment
⚔ St. Michael's Lent — Franciscan/private devotional tradition; exact '40-day' reckoning varies</x:v>
      </x:c>
      <x:c r="J225" s="14" t="str"/>
      <x:c r="K225" s="14" t="str"/>
      <x:c r="L225" s="14" t="str"/>
      <x:c r="M225" s="14" t="str"/>
      <x:c r="N225" s="14" t="str">
        <x:v>https://www.usccb.org/resources/2026cal.pdf
https://hallow.com/blog/how-to-pray-54-day-novena/
https://www.franciscantradition.org/blog/the-five-lents-of-francis-vjkyuy/</x:v>
      </x:c>
      <x:c r="O225" s="115" t="e">
        <x:f>HYPERLINK("https://bible.usccb.org/bible/readings/091426.cfm","USCCB readings ↗")</x:f>
        <x:v>HYPERLINK is not implemented. linkLocation=https://bible.usccb.org/bible/readings/091426.cfm, friendlyName=USCCB readings ↗</x:v>
      </x:c>
    </x:row>
    <x:row r="226">
      <x:c r="A226" s="38" t="n">
        <x:v>46280</x:v>
      </x:c>
      <x:c r="B226" t="str">
        <x:v>Tuesday</x:v>
      </x:c>
      <x:c r="C226" s="20" t="str">
        <x:v>Ordinary Time</x:v>
      </x:c>
      <x:c r="D226" t="str">
        <x:v>Our Lady of Sorrows</x:v>
      </x:c>
      <x:c r="E226" t="str">
        <x:v>Memorial</x:v>
      </x:c>
      <x:c r="F226" s="76" t="str">
        <x:v>Our Lady of Sorrows [Memorial]</x:v>
      </x:c>
      <x:c r="G226" s="14" t="str">
        <x:v>🌹 🙏 📿 ⚔</x:v>
      </x:c>
      <x:c r="H226" s="14" t="str"/>
      <x:c r="I226" s="80" t="str">
        <x:v>📿 54-Day Rosary Novena — Day 32/54 — popular Assumption-to-Our-Lady-of-the-Rosary alignment
⚔ St. Michael's Lent — Franciscan/private devotional tradition; exact '40-day' reckoning varies</x:v>
      </x:c>
      <x:c r="J226" s="14" t="str"/>
      <x:c r="K226" s="14" t="str"/>
      <x:c r="L226" s="14" t="str"/>
      <x:c r="M226" s="14" t="str"/>
      <x:c r="N226" s="14" t="str">
        <x:v>https://www.usccb.org/resources/2026cal.pdf
https://hallow.com/blog/how-to-pray-54-day-novena/
https://www.franciscantradition.org/blog/the-five-lents-of-francis-vjkyuy/</x:v>
      </x:c>
      <x:c r="O226" s="115" t="e">
        <x:f>HYPERLINK("https://bible.usccb.org/bible/readings/091526.cfm","USCCB readings ↗")</x:f>
        <x:v>HYPERLINK is not implemented. linkLocation=https://bible.usccb.org/bible/readings/091526.cfm, friendlyName=USCCB readings ↗</x:v>
      </x:c>
    </x:row>
    <x:row r="227">
      <x:c r="A227" s="38" t="n">
        <x:v>46281</x:v>
      </x:c>
      <x:c r="B227" t="str">
        <x:v>Wednesday</x:v>
      </x:c>
      <x:c r="C227" s="20" t="str">
        <x:v>Ordinary Time</x:v>
      </x:c>
      <x:c r="D227" t="str">
        <x:v>Saints Cornelius and Cyprian</x:v>
      </x:c>
      <x:c r="E227" t="str">
        <x:v>Memorial</x:v>
      </x:c>
      <x:c r="F227" s="14" t="str">
        <x:v>Saints Cornelius and Cyprian [Memorial]</x:v>
      </x:c>
      <x:c r="G227" s="14" t="str">
        <x:v>✦ 🙏 📿 ⚔ 🕯</x:v>
      </x:c>
      <x:c r="H227" s="14" t="str"/>
      <x:c r="I227" s="80" t="str">
        <x:v>📿 54-Day Rosary Novena — Day 33/54 — popular Assumption-to-Our-Lady-of-the-Rosary alignment
⚔ St. Michael's Lent — Franciscan/private devotional tradition; exact '40-day' reckoning varies</x:v>
      </x:c>
      <x:c r="J227" s="14" t="str"/>
      <x:c r="K227" s="84" t="str">
        <x:v>🕯 Traditional Ember Day</x:v>
      </x:c>
      <x:c r="L227" s="14" t="str"/>
      <x:c r="M227" s="14" t="str"/>
      <x:c r="N227" s="14" t="str">
        <x:v>https://www.usccb.org/resources/2026cal.pdf
https://hallow.com/blog/how-to-pray-54-day-novena/
https://www.franciscantradition.org/blog/the-five-lents-of-francis-vjkyuy/
https://www.newadvent.org/cathen/05399b.htm</x:v>
      </x:c>
      <x:c r="O227" s="115" t="e">
        <x:f>HYPERLINK("https://bible.usccb.org/bible/readings/091626.cfm","USCCB readings ↗")</x:f>
        <x:v>HYPERLINK is not implemented. linkLocation=https://bible.usccb.org/bible/readings/091626.cfm, friendlyName=USCCB readings ↗</x:v>
      </x:c>
    </x:row>
    <x:row r="228">
      <x:c r="A228" s="38" t="n">
        <x:v>46282</x:v>
      </x:c>
      <x:c r="B228" t="str">
        <x:v>Thursday</x:v>
      </x:c>
      <x:c r="C228" s="20" t="str">
        <x:v>Ordinary Time</x:v>
      </x:c>
      <x:c r="D228" t="str">
        <x:v>Weekday in Ordinary Time</x:v>
      </x:c>
      <x:c r="E228" t="str">
        <x:v>Weekday</x:v>
      </x:c>
      <x:c r="F228" s="14" t="str">
        <x:v>Saint Robert Bellarmine; Saint Hildegard of Bingen [Optional Memorial]</x:v>
      </x:c>
      <x:c r="G228" s="14" t="str">
        <x:v>✦ 🙏 📿 ⚔</x:v>
      </x:c>
      <x:c r="H228" s="14" t="str"/>
      <x:c r="I228" s="80" t="str">
        <x:v>📿 54-Day Rosary Novena — Day 34/54 — popular Assumption-to-Our-Lady-of-the-Rosary alignment
⚔ St. Michael's Lent — Franciscan/private devotional tradition; exact '40-day' reckoning varies</x:v>
      </x:c>
      <x:c r="J228" s="14" t="str"/>
      <x:c r="K228" s="14" t="str"/>
      <x:c r="L228" s="14" t="str"/>
      <x:c r="M228" s="14" t="str"/>
      <x:c r="N228" s="14" t="str">
        <x:v>https://www.usccb.org/resources/2026cal.pdf
https://hallow.com/blog/how-to-pray-54-day-novena/
https://www.franciscantradition.org/blog/the-five-lents-of-francis-vjkyuy/</x:v>
      </x:c>
      <x:c r="O228" s="115" t="e">
        <x:f>HYPERLINK("https://bible.usccb.org/bible/readings/091726.cfm","USCCB readings ↗")</x:f>
        <x:v>HYPERLINK is not implemented. linkLocation=https://bible.usccb.org/bible/readings/091726.cfm, friendlyName=USCCB readings ↗</x:v>
      </x:c>
    </x:row>
    <x:row r="229">
      <x:c r="A229" s="38" t="n">
        <x:v>46283</x:v>
      </x:c>
      <x:c r="B229" t="str">
        <x:v>Friday</x:v>
      </x:c>
      <x:c r="C229" s="20" t="str">
        <x:v>Ordinary Time</x:v>
      </x:c>
      <x:c r="D229" t="str">
        <x:v>Weekday in Ordinary Time</x:v>
      </x:c>
      <x:c r="E229" t="str">
        <x:v>Weekday</x:v>
      </x:c>
      <x:c r="F229" s="14" t="str"/>
      <x:c r="G229" s="14" t="str">
        <x:v>🙏 📿 ⚔ Ⓟ 🕯</x:v>
      </x:c>
      <x:c r="H229" s="14" t="str"/>
      <x:c r="I229" s="80" t="str">
        <x:v>📿 54-Day Rosary Novena — Day 35/54 — popular Assumption-to-Our-Lady-of-the-Rosary alignment
⚔ St. Michael's Lent — Franciscan/private devotional tradition; exact '40-day' reckoning varies</x:v>
      </x:c>
      <x:c r="J229" s="82" t="str">
        <x:v>Friday penance — outside Lent, U.S. Catholics may choose an appropriate penitential practice</x:v>
      </x:c>
      <x:c r="K229" s="84" t="str">
        <x:v>🕯 Traditional Ember Day</x:v>
      </x:c>
      <x:c r="L229" s="14" t="str"/>
      <x:c r="M229" s="14" t="str"/>
      <x:c r="N229" s="14" t="str">
        <x:v>https://www.usccb.org/resources/2026cal.pdf
https://hallow.com/blog/how-to-pray-54-day-novena/
https://www.franciscantradition.org/blog/the-five-lents-of-francis-vjkyuy/
https://www.usccb.org/prayer-and-worship/liturgical-year-and-calendar/lent/catholic-information-on-lenten-fast-and-abstinence
https://www.newadvent.org/cathen/05399b.htm</x:v>
      </x:c>
      <x:c r="O229" s="115" t="e">
        <x:f>HYPERLINK("https://bible.usccb.org/bible/readings/091826.cfm","USCCB readings ↗")</x:f>
        <x:v>HYPERLINK is not implemented. linkLocation=https://bible.usccb.org/bible/readings/091826.cfm, friendlyName=USCCB readings ↗</x:v>
      </x:c>
    </x:row>
    <x:row r="230">
      <x:c r="A230" s="38" t="n">
        <x:v>46284</x:v>
      </x:c>
      <x:c r="B230" t="str">
        <x:v>Saturday</x:v>
      </x:c>
      <x:c r="C230" s="20" t="str">
        <x:v>Ordinary Time</x:v>
      </x:c>
      <x:c r="D230" t="str">
        <x:v>Weekday in Ordinary Time</x:v>
      </x:c>
      <x:c r="E230" t="str">
        <x:v>Weekday</x:v>
      </x:c>
      <x:c r="F230" s="14" t="str">
        <x:v>Saint Januarius [Optional Memorial]</x:v>
      </x:c>
      <x:c r="G230" s="14" t="str">
        <x:v>✦ 🙏 📿 ⚔ 🕯</x:v>
      </x:c>
      <x:c r="H230" s="14" t="str"/>
      <x:c r="I230" s="80" t="str">
        <x:v>📿 54-Day Rosary Novena — Day 36/54 — popular Assumption-to-Our-Lady-of-the-Rosary alignment
⚔ St. Michael's Lent — Franciscan/private devotional tradition; exact '40-day' reckoning varies</x:v>
      </x:c>
      <x:c r="J230" s="14" t="str"/>
      <x:c r="K230" s="84" t="str">
        <x:v>🕯 Traditional Ember Day</x:v>
      </x:c>
      <x:c r="L230" s="14" t="str"/>
      <x:c r="M230" s="14" t="str"/>
      <x:c r="N230" s="14" t="str">
        <x:v>https://www.usccb.org/resources/2026cal.pdf
https://hallow.com/blog/how-to-pray-54-day-novena/
https://www.franciscantradition.org/blog/the-five-lents-of-francis-vjkyuy/
https://www.newadvent.org/cathen/05399b.htm</x:v>
      </x:c>
      <x:c r="O230" s="115" t="e">
        <x:f>HYPERLINK("https://bible.usccb.org/bible/readings/091926.cfm","USCCB readings ↗")</x:f>
        <x:v>HYPERLINK is not implemented. linkLocation=https://bible.usccb.org/bible/readings/091926.cfm, friendlyName=USCCB readings ↗</x:v>
      </x:c>
    </x:row>
    <x:row r="231">
      <x:c r="A231" s="38" t="n">
        <x:v>46285</x:v>
      </x:c>
      <x:c r="B231" t="str">
        <x:v>Sunday</x:v>
      </x:c>
      <x:c r="C231" s="20" t="str">
        <x:v>Ordinary Time</x:v>
      </x:c>
      <x:c r="D231" t="str">
        <x:v>Twenty-Fifth Sunday in Ordinary Time</x:v>
      </x:c>
      <x:c r="E231" t="str">
        <x:v>Sunday</x:v>
      </x:c>
      <x:c r="F231" s="14" t="str">
        <x:v>Saints Andrew Kim Tae-gŏn, Paul Chŏng Ha-sang and Companions [Memorial]</x:v>
      </x:c>
      <x:c r="G231" s="14" t="str">
        <x:v>✦ ⛪ 🙏 📿 ⚔</x:v>
      </x:c>
      <x:c r="H231" s="78" t="str">
        <x:v>⛪ Sunday Mass obligation</x:v>
      </x:c>
      <x:c r="I231" s="80" t="str">
        <x:v>📿 54-Day Rosary Novena — Day 37/54 — popular Assumption-to-Our-Lady-of-the-Rosary alignment
⚔ St. Michael's Lent — Franciscan/private devotional tradition; exact '40-day' reckoning varies
🙏 Novena to St. Michael the Archangel — Day 1/9 [START]</x:v>
      </x:c>
      <x:c r="J231" s="14" t="str"/>
      <x:c r="K231" s="14" t="str"/>
      <x:c r="L231" s="14" t="str"/>
      <x:c r="M231" s="14" t="str">
        <x:v>A fixed observance also falls today, but the Sunday or higher-ranking celebration takes liturgical precedence.</x:v>
      </x:c>
      <x:c r="N231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
https://www.usccb.org/resources/liturgical-calendar-dioceses-united-states-america</x:v>
      </x:c>
      <x:c r="O231" s="115" t="e">
        <x:f>HYPERLINK("https://bible.usccb.org/bible/readings/092026.cfm","USCCB readings ↗")</x:f>
        <x:v>HYPERLINK is not implemented. linkLocation=https://bible.usccb.org/bible/readings/092026.cfm, friendlyName=USCCB readings ↗</x:v>
      </x:c>
    </x:row>
    <x:row r="232">
      <x:c r="A232" s="38" t="n">
        <x:v>46286</x:v>
      </x:c>
      <x:c r="B232" t="str">
        <x:v>Monday</x:v>
      </x:c>
      <x:c r="C232" s="20" t="str">
        <x:v>Ordinary Time</x:v>
      </x:c>
      <x:c r="D232" t="str">
        <x:v>Saint Matthew, Apostle and Evangelist</x:v>
      </x:c>
      <x:c r="E232" t="str">
        <x:v>Feast</x:v>
      </x:c>
      <x:c r="F232" s="14" t="str">
        <x:v>Saint Matthew, Apostle and Evangelist [Feast]</x:v>
      </x:c>
      <x:c r="G232" s="14" t="str">
        <x:v>★ ✦ 🙏 📿 ⚔</x:v>
      </x:c>
      <x:c r="H232" s="14" t="str"/>
      <x:c r="I232" s="80" t="str">
        <x:v>📿 54-Day Rosary Novena — Day 38/54 — popular Assumption-to-Our-Lady-of-the-Rosary alignment
⚔ St. Michael's Lent — Franciscan/private devotional tradition; exact '40-day' reckoning varies
🙏 Novena to St. Michael the Archangel — Day 2/9</x:v>
      </x:c>
      <x:c r="J232" s="14" t="str"/>
      <x:c r="K232" s="14" t="str"/>
      <x:c r="L232" s="14" t="str"/>
      <x:c r="M232" s="14" t="str"/>
      <x:c r="N232" s="14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32" s="115" t="e">
        <x:f>HYPERLINK("https://bible.usccb.org/bible/readings/092126.cfm","USCCB readings ↗")</x:f>
        <x:v>HYPERLINK is not implemented. linkLocation=https://bible.usccb.org/bible/readings/092126.cfm, friendlyName=USCCB readings ↗</x:v>
      </x:c>
    </x:row>
    <x:row r="233">
      <x:c r="A233" s="38" t="n">
        <x:v>46287</x:v>
      </x:c>
      <x:c r="B233" t="str">
        <x:v>Tuesday</x:v>
      </x:c>
      <x:c r="C233" s="20" t="str">
        <x:v>Ordinary Time</x:v>
      </x:c>
      <x:c r="D233" t="str">
        <x:v>Weekday in Ordinary Time</x:v>
      </x:c>
      <x:c r="E233" t="str">
        <x:v>Weekday</x:v>
      </x:c>
      <x:c r="F233" s="14" t="str"/>
      <x:c r="G233" s="14" t="str">
        <x:v>🙏 📿 ⚔</x:v>
      </x:c>
      <x:c r="H233" s="14" t="str"/>
      <x:c r="I233" s="80" t="str">
        <x:v>📿 54-Day Rosary Novena — Day 39/54 — popular Assumption-to-Our-Lady-of-the-Rosary alignment
⚔ St. Michael's Lent — Franciscan/private devotional tradition; exact '40-day' reckoning varies
🙏 Novena to St. Michael the Archangel — Day 3/9</x:v>
      </x:c>
      <x:c r="J233" s="14" t="str"/>
      <x:c r="K233" s="14" t="str"/>
      <x:c r="L233" s="14" t="str"/>
      <x:c r="M233" s="14" t="str"/>
      <x:c r="N233" s="14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33" s="115" t="e">
        <x:f>HYPERLINK("https://bible.usccb.org/bible/readings/092226.cfm","USCCB readings ↗")</x:f>
        <x:v>HYPERLINK is not implemented. linkLocation=https://bible.usccb.org/bible/readings/092226.cfm, friendlyName=USCCB readings ↗</x:v>
      </x:c>
    </x:row>
    <x:row r="234">
      <x:c r="A234" s="38" t="n">
        <x:v>46288</x:v>
      </x:c>
      <x:c r="B234" t="str">
        <x:v>Wednesday</x:v>
      </x:c>
      <x:c r="C234" s="20" t="str">
        <x:v>Ordinary Time</x:v>
      </x:c>
      <x:c r="D234" t="str">
        <x:v>Saint Pio of Pietrelcina</x:v>
      </x:c>
      <x:c r="E234" t="str">
        <x:v>Memorial</x:v>
      </x:c>
      <x:c r="F234" s="14" t="str">
        <x:v>Saint Pio of Pietrelcina [Memorial]</x:v>
      </x:c>
      <x:c r="G234" s="14" t="str">
        <x:v>✦ 🙏 📿 ⚔</x:v>
      </x:c>
      <x:c r="H234" s="14" t="str"/>
      <x:c r="I234" s="80" t="str">
        <x:v>📿 54-Day Rosary Novena — Day 40/54 — popular Assumption-to-Our-Lady-of-the-Rosary alignment
⚔ St. Michael's Lent — Franciscan/private devotional tradition; exact '40-day' reckoning varies
🙏 Novena to St. Michael the Archangel — Day 4/9</x:v>
      </x:c>
      <x:c r="J234" s="14" t="str"/>
      <x:c r="K234" s="14" t="str"/>
      <x:c r="L234" s="14" t="str"/>
      <x:c r="M234" s="14" t="str"/>
      <x:c r="N234" s="14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34" s="115" t="e">
        <x:f>HYPERLINK("https://bible.usccb.org/bible/readings/092326.cfm","USCCB readings ↗")</x:f>
        <x:v>HYPERLINK is not implemented. linkLocation=https://bible.usccb.org/bible/readings/092326.cfm, friendlyName=USCCB readings ↗</x:v>
      </x:c>
    </x:row>
    <x:row r="235">
      <x:c r="A235" s="38" t="n">
        <x:v>46289</x:v>
      </x:c>
      <x:c r="B235" t="str">
        <x:v>Thursday</x:v>
      </x:c>
      <x:c r="C235" s="20" t="str">
        <x:v>Ordinary Time</x:v>
      </x:c>
      <x:c r="D235" t="str">
        <x:v>Weekday in Ordinary Time</x:v>
      </x:c>
      <x:c r="E235" t="str">
        <x:v>Weekday</x:v>
      </x:c>
      <x:c r="F235" s="14" t="str"/>
      <x:c r="G235" s="14" t="str">
        <x:v>🙏 📿 ⚔</x:v>
      </x:c>
      <x:c r="H235" s="14" t="str"/>
      <x:c r="I235" s="80" t="str">
        <x:v>📿 54-Day Rosary Novena — Day 41/54 — popular Assumption-to-Our-Lady-of-the-Rosary alignment
⚔ St. Michael's Lent — Franciscan/private devotional tradition; exact '40-day' reckoning varies
🙏 Novena to St. Michael the Archangel — Day 5/9</x:v>
      </x:c>
      <x:c r="J235" s="14" t="str"/>
      <x:c r="K235" s="14" t="str"/>
      <x:c r="L235" s="14" t="str"/>
      <x:c r="M235" s="14" t="str"/>
      <x:c r="N235" s="14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35" s="115" t="e">
        <x:f>HYPERLINK("https://bible.usccb.org/bible/readings/092426.cfm","USCCB readings ↗")</x:f>
        <x:v>HYPERLINK is not implemented. linkLocation=https://bible.usccb.org/bible/readings/092426.cfm, friendlyName=USCCB readings ↗</x:v>
      </x:c>
    </x:row>
    <x:row r="236">
      <x:c r="A236" s="38" t="n">
        <x:v>46290</x:v>
      </x:c>
      <x:c r="B236" t="str">
        <x:v>Friday</x:v>
      </x:c>
      <x:c r="C236" s="20" t="str">
        <x:v>Ordinary Time</x:v>
      </x:c>
      <x:c r="D236" t="str">
        <x:v>Weekday in Ordinary Time</x:v>
      </x:c>
      <x:c r="E236" t="str">
        <x:v>Weekday</x:v>
      </x:c>
      <x:c r="F236" s="14" t="str"/>
      <x:c r="G236" s="14" t="str">
        <x:v>🙏 📿 ⚔ Ⓟ</x:v>
      </x:c>
      <x:c r="H236" s="14" t="str"/>
      <x:c r="I236" s="80" t="str">
        <x:v>📿 54-Day Rosary Novena — Day 42/54 — popular Assumption-to-Our-Lady-of-the-Rosary alignment
⚔ St. Michael's Lent — Franciscan/private devotional tradition; exact '40-day' reckoning varies
🙏 Novena to St. Michael the Archangel — Day 6/9</x:v>
      </x:c>
      <x:c r="J236" s="82" t="str">
        <x:v>Friday penance — outside Lent, U.S. Catholics may choose an appropriate penitential practice</x:v>
      </x:c>
      <x:c r="K236" s="14" t="str"/>
      <x:c r="L236" s="14" t="str"/>
      <x:c r="M236" s="14" t="str"/>
      <x:c r="N236" s="14" t="str">
        <x:v>https://www.usccb.org/resources/2026cal.pdf
https://hallow.com/blog/how-to-pray-54-day-novena/
https://www.franciscantradition.org/blog/the-five-lents-of-francis-vjkyuy/
https://www.usccb.org/resources/liturgical-calendar-dioceses-united-states-america
https://www.usccb.org/prayer-and-worship/liturgical-year-and-calendar/lent/catholic-information-on-lenten-fast-and-abstinence</x:v>
      </x:c>
      <x:c r="O236" s="115" t="e">
        <x:f>HYPERLINK("https://bible.usccb.org/bible/readings/092526.cfm","USCCB readings ↗")</x:f>
        <x:v>HYPERLINK is not implemented. linkLocation=https://bible.usccb.org/bible/readings/092526.cfm, friendlyName=USCCB readings ↗</x:v>
      </x:c>
    </x:row>
    <x:row r="237">
      <x:c r="A237" s="38" t="n">
        <x:v>46291</x:v>
      </x:c>
      <x:c r="B237" t="str">
        <x:v>Saturday</x:v>
      </x:c>
      <x:c r="C237" s="20" t="str">
        <x:v>Ordinary Time</x:v>
      </x:c>
      <x:c r="D237" t="str">
        <x:v>Weekday in Ordinary Time</x:v>
      </x:c>
      <x:c r="E237" t="str">
        <x:v>Weekday</x:v>
      </x:c>
      <x:c r="F237" s="14" t="str">
        <x:v>Saints Cosmas and Damian [Optional Memorial]</x:v>
      </x:c>
      <x:c r="G237" s="14" t="str">
        <x:v>✦ 🙏 📿 ⚔</x:v>
      </x:c>
      <x:c r="H237" s="14" t="str"/>
      <x:c r="I237" s="80" t="str">
        <x:v>📿 54-Day Rosary Novena — Day 43/54 — popular Assumption-to-Our-Lady-of-the-Rosary alignment
⚔ St. Michael's Lent — Franciscan/private devotional tradition; exact '40-day' reckoning varies
🙏 Novena to St. Michael the Archangel — Day 7/9</x:v>
      </x:c>
      <x:c r="J237" s="14" t="str"/>
      <x:c r="K237" s="14" t="str"/>
      <x:c r="L237" s="14" t="str"/>
      <x:c r="M237" s="14" t="str"/>
      <x:c r="N237" s="14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37" s="115" t="e">
        <x:f>HYPERLINK("https://bible.usccb.org/bible/readings/092626.cfm","USCCB readings ↗")</x:f>
        <x:v>HYPERLINK is not implemented. linkLocation=https://bible.usccb.org/bible/readings/092626.cfm, friendlyName=USCCB readings ↗</x:v>
      </x:c>
    </x:row>
    <x:row r="238">
      <x:c r="A238" s="38" t="n">
        <x:v>46292</x:v>
      </x:c>
      <x:c r="B238" t="str">
        <x:v>Sunday</x:v>
      </x:c>
      <x:c r="C238" s="20" t="str">
        <x:v>Ordinary Time</x:v>
      </x:c>
      <x:c r="D238" t="str">
        <x:v>Twenty-Sixth Sunday in Ordinary Time</x:v>
      </x:c>
      <x:c r="E238" t="str">
        <x:v>Sunday</x:v>
      </x:c>
      <x:c r="F238" s="14" t="str">
        <x:v>Saint Vincent de Paul [Memorial]</x:v>
      </x:c>
      <x:c r="G238" s="14" t="str">
        <x:v>✦ ⛪ 🙏 📿 ⚔</x:v>
      </x:c>
      <x:c r="H238" s="78" t="str">
        <x:v>⛪ Sunday Mass obligation</x:v>
      </x:c>
      <x:c r="I238" s="80" t="str">
        <x:v>📿 54-Day Rosary Novena — Day 44/54 — popular Assumption-to-Our-Lady-of-the-Rosary alignment
⚔ St. Michael's Lent — Franciscan/private devotional tradition; exact '40-day' reckoning varies
🙏 Novena to St. Michael the Archangel — Day 8/9</x:v>
      </x:c>
      <x:c r="J238" s="14" t="str"/>
      <x:c r="K238" s="14" t="str"/>
      <x:c r="L238" s="14" t="str"/>
      <x:c r="M238" s="14" t="str">
        <x:v>A fixed observance also falls today, but the Sunday or higher-ranking celebration takes liturgical precedence.</x:v>
      </x:c>
      <x:c r="N238" s="14" t="str">
        <x:v>https://www.usccb.org/resources/2026cal.pdf
https://www.usccb.org/beliefs-and-teachings/what-we-believe/canon-law/complementary-norms/canon-1246
https://hallow.com/blog/how-to-pray-54-day-novena/
https://www.franciscantradition.org/blog/the-five-lents-of-francis-vjkyuy/
https://www.usccb.org/resources/liturgical-calendar-dioceses-united-states-america</x:v>
      </x:c>
      <x:c r="O238" s="115" t="e">
        <x:f>HYPERLINK("https://bible.usccb.org/bible/readings/092726.cfm","USCCB readings ↗")</x:f>
        <x:v>HYPERLINK is not implemented. linkLocation=https://bible.usccb.org/bible/readings/092726.cfm, friendlyName=USCCB readings ↗</x:v>
      </x:c>
    </x:row>
    <x:row r="239">
      <x:c r="A239" s="38" t="n">
        <x:v>46293</x:v>
      </x:c>
      <x:c r="B239" t="str">
        <x:v>Monday</x:v>
      </x:c>
      <x:c r="C239" s="20" t="str">
        <x:v>Ordinary Time</x:v>
      </x:c>
      <x:c r="D239" t="str">
        <x:v>Weekday in Ordinary Time</x:v>
      </x:c>
      <x:c r="E239" t="str">
        <x:v>Weekday</x:v>
      </x:c>
      <x:c r="F239" s="14" t="str">
        <x:v>Saint Wenceslaus; Saint Lawrence Ruiz and Companions [Optional Memorial]</x:v>
      </x:c>
      <x:c r="G239" s="14" t="str">
        <x:v>✦ 🙏 📿 ⚔</x:v>
      </x:c>
      <x:c r="H239" s="14" t="str"/>
      <x:c r="I239" s="80" t="str">
        <x:v>📿 54-Day Rosary Novena — Day 45/54 — popular Assumption-to-Our-Lady-of-the-Rosary alignment
⚔ St. Michael's Lent — Franciscan/private devotional tradition; exact '40-day' reckoning varies
🙏 Novena to St. Michael the Archangel — Day 9/9 [END]</x:v>
      </x:c>
      <x:c r="J239" s="14" t="str"/>
      <x:c r="K239" s="14" t="str"/>
      <x:c r="L239" s="14" t="str"/>
      <x:c r="M239" s="14" t="str"/>
      <x:c r="N239" s="14" t="str">
        <x:v>https://www.usccb.org/resources/2026cal.pdf
https://hallow.com/blog/how-to-pray-54-day-novena/
https://www.franciscantradition.org/blog/the-five-lents-of-francis-vjkyuy/
https://www.usccb.org/resources/liturgical-calendar-dioceses-united-states-america</x:v>
      </x:c>
      <x:c r="O239" s="115" t="e">
        <x:f>HYPERLINK("https://bible.usccb.org/bible/readings/092826.cfm","USCCB readings ↗")</x:f>
        <x:v>HYPERLINK is not implemented. linkLocation=https://bible.usccb.org/bible/readings/092826.cfm, friendlyName=USCCB readings ↗</x:v>
      </x:c>
    </x:row>
    <x:row r="240">
      <x:c r="A240" s="38" t="n">
        <x:v>46294</x:v>
      </x:c>
      <x:c r="B240" t="str">
        <x:v>Tuesday</x:v>
      </x:c>
      <x:c r="C240" s="20" t="str">
        <x:v>Ordinary Time</x:v>
      </x:c>
      <x:c r="D240" t="str">
        <x:v>Saints Michael, Gabriel and Raphael, Archangels</x:v>
      </x:c>
      <x:c r="E240" t="str">
        <x:v>Feast</x:v>
      </x:c>
      <x:c r="F240" s="14" t="str">
        <x:v>Saints Michael, Gabriel and Raphael, Archangels [Feast]</x:v>
      </x:c>
      <x:c r="G240" s="14" t="str">
        <x:v>★ ⚔ 🙏 📿</x:v>
      </x:c>
      <x:c r="H240" s="14" t="str"/>
      <x:c r="I240" s="80" t="str">
        <x:v>📿 54-Day Rosary Novena — Day 46/54 — popular Assumption-to-Our-Lady-of-the-Rosary alignment
⚔ St. Michael's Lent [END] — Franciscan/private devotional tradition; exact '40-day' reckoning varies</x:v>
      </x:c>
      <x:c r="J240" s="14" t="str"/>
      <x:c r="K240" s="14" t="str"/>
      <x:c r="L240" s="14" t="str"/>
      <x:c r="M240" s="14" t="str"/>
      <x:c r="N240" s="14" t="str">
        <x:v>https://www.usccb.org/resources/2026cal.pdf
https://hallow.com/blog/how-to-pray-54-day-novena/
https://www.franciscantradition.org/blog/the-five-lents-of-francis-vjkyuy/</x:v>
      </x:c>
      <x:c r="O240" s="115" t="e">
        <x:f>HYPERLINK("https://bible.usccb.org/bible/readings/092926.cfm","USCCB readings ↗")</x:f>
        <x:v>HYPERLINK is not implemented. linkLocation=https://bible.usccb.org/bible/readings/092926.cfm, friendlyName=USCCB readings ↗</x:v>
      </x:c>
    </x:row>
    <x:row r="241">
      <x:c r="A241" s="38" t="n">
        <x:v>46295</x:v>
      </x:c>
      <x:c r="B241" t="str">
        <x:v>Wednesday</x:v>
      </x:c>
      <x:c r="C241" s="20" t="str">
        <x:v>Ordinary Time</x:v>
      </x:c>
      <x:c r="D241" t="str">
        <x:v>Saint Jerome</x:v>
      </x:c>
      <x:c r="E241" t="str">
        <x:v>Memorial</x:v>
      </x:c>
      <x:c r="F241" s="14" t="str">
        <x:v>Saint Jerome [Memorial]</x:v>
      </x:c>
      <x:c r="G241" s="14" t="str">
        <x:v>✦ 🙏 📿</x:v>
      </x:c>
      <x:c r="H241" s="14" t="str"/>
      <x:c r="I241" s="80" t="str">
        <x:v>📿 54-Day Rosary Novena — Day 47/54 — popular Assumption-to-Our-Lady-of-the-Rosary alignment</x:v>
      </x:c>
      <x:c r="J241" s="14" t="str"/>
      <x:c r="K241" s="14" t="str"/>
      <x:c r="L241" s="14" t="str"/>
      <x:c r="M241" s="14" t="str"/>
      <x:c r="N241" s="14" t="str">
        <x:v>https://www.usccb.org/resources/2026cal.pdf
https://hallow.com/blog/how-to-pray-54-day-novena/</x:v>
      </x:c>
      <x:c r="O241" s="115" t="e">
        <x:f>HYPERLINK("https://bible.usccb.org/bible/readings/093026.cfm","USCCB readings ↗")</x:f>
        <x:v>HYPERLINK is not implemented. linkLocation=https://bible.usccb.org/bible/readings/093026.cfm, friendlyName=USCCB readings ↗</x:v>
      </x:c>
    </x:row>
    <x:row r="242">
      <x:c r="A242" s="38" t="n">
        <x:v>46296</x:v>
      </x:c>
      <x:c r="B242" t="str">
        <x:v>Thursday</x:v>
      </x:c>
      <x:c r="C242" s="20" t="str">
        <x:v>Ordinary Time</x:v>
      </x:c>
      <x:c r="D242" t="str">
        <x:v>Saint Thérèse of the Child Jesus</x:v>
      </x:c>
      <x:c r="E242" t="str">
        <x:v>Memorial</x:v>
      </x:c>
      <x:c r="F242" s="14" t="str">
        <x:v>Saint Thérèse of the Child Jesus [Memorial]</x:v>
      </x:c>
      <x:c r="G242" s="14" t="str">
        <x:v>✦ 🙏 📿</x:v>
      </x:c>
      <x:c r="H242" s="14" t="str"/>
      <x:c r="I242" s="80" t="str">
        <x:v>📿 54-Day Rosary Novena — Day 48/54 — popular Assumption-to-Our-Lady-of-the-Rosary alignment</x:v>
      </x:c>
      <x:c r="J242" s="14" t="str"/>
      <x:c r="K242" s="14" t="str"/>
      <x:c r="L242" s="14" t="str"/>
      <x:c r="M242" s="14" t="str"/>
      <x:c r="N242" s="14" t="str">
        <x:v>https://www.usccb.org/resources/2026cal.pdf
https://hallow.com/blog/how-to-pray-54-day-novena/</x:v>
      </x:c>
      <x:c r="O242" s="115" t="e">
        <x:f>HYPERLINK("https://bible.usccb.org/bible/readings/100126.cfm","USCCB readings ↗")</x:f>
        <x:v>HYPERLINK is not implemented. linkLocation=https://bible.usccb.org/bible/readings/100126.cfm, friendlyName=USCCB readings ↗</x:v>
      </x:c>
    </x:row>
    <x:row r="243">
      <x:c r="A243" s="38" t="n">
        <x:v>46297</x:v>
      </x:c>
      <x:c r="B243" t="str">
        <x:v>Friday</x:v>
      </x:c>
      <x:c r="C243" s="20" t="str">
        <x:v>Ordinary Time</x:v>
      </x:c>
      <x:c r="D243" t="str">
        <x:v>Holy Guardian Angels</x:v>
      </x:c>
      <x:c r="E243" t="str">
        <x:v>Memorial</x:v>
      </x:c>
      <x:c r="F243" s="14" t="str">
        <x:v>Holy Guardian Angels [Memorial]</x:v>
      </x:c>
      <x:c r="G243" s="14" t="str">
        <x:v>✦ 🙏 📿 Ⓟ</x:v>
      </x:c>
      <x:c r="H243" s="14" t="str"/>
      <x:c r="I243" s="80" t="str">
        <x:v>📿 54-Day Rosary Novena — Day 49/54 — popular Assumption-to-Our-Lady-of-the-Rosary alignment
❤ First Friday — Sacred Heart devotion</x:v>
      </x:c>
      <x:c r="J243" s="82" t="str">
        <x:v>Friday penance — outside Lent, U.S. Catholics may choose an appropriate penitential practice</x:v>
      </x:c>
      <x:c r="K243" s="14" t="str"/>
      <x:c r="L243" s="14" t="str"/>
      <x:c r="M243" s="14" t="str"/>
      <x:c r="N243" s="14" t="str">
        <x:v>https://www.usccb.org/resources/2026cal.pdf
https://hallow.com/blog/how-to-pray-54-day-novena/
https://www.ewtn.com/catholicism/library/first-friday-devotion-to-sacred-heart-4692
https://www.usccb.org/prayer-and-worship/liturgical-year-and-calendar/lent/catholic-information-on-lenten-fast-and-abstinence</x:v>
      </x:c>
      <x:c r="O243" s="115" t="e">
        <x:f>HYPERLINK("https://bible.usccb.org/bible/readings/100226.cfm","USCCB readings ↗")</x:f>
        <x:v>HYPERLINK is not implemented. linkLocation=https://bible.usccb.org/bible/readings/100226.cfm, friendlyName=USCCB readings ↗</x:v>
      </x:c>
    </x:row>
    <x:row r="244">
      <x:c r="A244" s="38" t="n">
        <x:v>46298</x:v>
      </x:c>
      <x:c r="B244" t="str">
        <x:v>Saturday</x:v>
      </x:c>
      <x:c r="C244" s="20" t="str">
        <x:v>Ordinary Time</x:v>
      </x:c>
      <x:c r="D244" t="str">
        <x:v>Weekday in Ordinary Time</x:v>
      </x:c>
      <x:c r="E244" t="str">
        <x:v>Weekday</x:v>
      </x:c>
      <x:c r="F244" s="76" t="str"/>
      <x:c r="G244" s="14" t="str">
        <x:v>🙏 📿 🌹</x:v>
      </x:c>
      <x:c r="H244" s="14" t="str"/>
      <x:c r="I244" s="80" t="str">
        <x:v>📿 54-Day Rosary Novena — Day 50/54 — popular Assumption-to-Our-Lady-of-the-Rosary alignment
🌹 First Saturday — Immaculate Heart devotion</x:v>
      </x:c>
      <x:c r="J244" s="14" t="str"/>
      <x:c r="K244" s="14" t="str"/>
      <x:c r="L244" s="14" t="str"/>
      <x:c r="M244" s="14" t="str"/>
      <x:c r="N244" s="14" t="str">
        <x:v>https://www.usccb.org/resources/2026cal.pdf
https://hallow.com/blog/how-to-pray-54-day-novena/
https://www.ewtn.com/catholicism/library/revelation-of-the-immaculate-heart-at-fatima-in-1917-5465</x:v>
      </x:c>
      <x:c r="O244" s="115" t="e">
        <x:f>HYPERLINK("https://bible.usccb.org/bible/readings/100326.cfm","USCCB readings ↗")</x:f>
        <x:v>HYPERLINK is not implemented. linkLocation=https://bible.usccb.org/bible/readings/100326.cfm, friendlyName=USCCB readings ↗</x:v>
      </x:c>
    </x:row>
    <x:row r="245">
      <x:c r="A245" s="38" t="n">
        <x:v>46299</x:v>
      </x:c>
      <x:c r="B245" t="str">
        <x:v>Sunday</x:v>
      </x:c>
      <x:c r="C245" s="20" t="str">
        <x:v>Ordinary Time</x:v>
      </x:c>
      <x:c r="D245" t="str">
        <x:v>Twenty-Seventh Sunday in Ordinary Time</x:v>
      </x:c>
      <x:c r="E245" t="str">
        <x:v>Sunday</x:v>
      </x:c>
      <x:c r="F245" s="14" t="str">
        <x:v>Saint Francis of Assisi [Memorial]</x:v>
      </x:c>
      <x:c r="G245" s="14" t="str">
        <x:v>✦ ⛪ 🙏 📿</x:v>
      </x:c>
      <x:c r="H245" s="78" t="str">
        <x:v>⛪ Sunday Mass obligation</x:v>
      </x:c>
      <x:c r="I245" s="80" t="str">
        <x:v>📿 54-Day Rosary Novena — Day 51/54 — popular Assumption-to-Our-Lady-of-the-Rosary alignment</x:v>
      </x:c>
      <x:c r="J245" s="14" t="str"/>
      <x:c r="K245" s="14" t="str"/>
      <x:c r="L245" s="14" t="str"/>
      <x:c r="M245" s="14" t="str">
        <x:v>A fixed observance also falls today, but the Sunday or higher-ranking celebration takes liturgical precedence.</x:v>
      </x:c>
      <x:c r="N245" s="14" t="str">
        <x:v>https://www.usccb.org/resources/2026cal.pdf
https://www.usccb.org/beliefs-and-teachings/what-we-believe/canon-law/complementary-norms/canon-1246
https://hallow.com/blog/how-to-pray-54-day-novena/</x:v>
      </x:c>
      <x:c r="O245" s="115" t="e">
        <x:f>HYPERLINK("https://bible.usccb.org/bible/readings/100426.cfm","USCCB readings ↗")</x:f>
        <x:v>HYPERLINK is not implemented. linkLocation=https://bible.usccb.org/bible/readings/100426.cfm, friendlyName=USCCB readings ↗</x:v>
      </x:c>
    </x:row>
    <x:row r="246">
      <x:c r="A246" s="38" t="n">
        <x:v>46300</x:v>
      </x:c>
      <x:c r="B246" t="str">
        <x:v>Monday</x:v>
      </x:c>
      <x:c r="C246" s="20" t="str">
        <x:v>Ordinary Time</x:v>
      </x:c>
      <x:c r="D246" t="str">
        <x:v>Weekday in Ordinary Time</x:v>
      </x:c>
      <x:c r="E246" t="str">
        <x:v>Weekday</x:v>
      </x:c>
      <x:c r="F246" s="14" t="str">
        <x:v>Saint Faustina Kowalska; Blessed Francis Xavier Seelos [Optional Memorial]</x:v>
      </x:c>
      <x:c r="G246" s="14" t="str">
        <x:v>✦ 🙏 📿</x:v>
      </x:c>
      <x:c r="H246" s="14" t="str"/>
      <x:c r="I246" s="80" t="str">
        <x:v>📿 54-Day Rosary Novena — Day 52/54 — popular Assumption-to-Our-Lady-of-the-Rosary alignment</x:v>
      </x:c>
      <x:c r="J246" s="14" t="str"/>
      <x:c r="K246" s="14" t="str"/>
      <x:c r="L246" s="14" t="str"/>
      <x:c r="M246" s="14" t="str"/>
      <x:c r="N246" s="14" t="str">
        <x:v>https://www.usccb.org/resources/2026cal.pdf
https://hallow.com/blog/how-to-pray-54-day-novena/</x:v>
      </x:c>
      <x:c r="O246" s="115" t="e">
        <x:f>HYPERLINK("https://bible.usccb.org/bible/readings/100526.cfm","USCCB readings ↗")</x:f>
        <x:v>HYPERLINK is not implemented. linkLocation=https://bible.usccb.org/bible/readings/100526.cfm, friendlyName=USCCB readings ↗</x:v>
      </x:c>
    </x:row>
    <x:row r="247">
      <x:c r="A247" s="38" t="n">
        <x:v>46301</x:v>
      </x:c>
      <x:c r="B247" t="str">
        <x:v>Tuesday</x:v>
      </x:c>
      <x:c r="C247" s="20" t="str">
        <x:v>Ordinary Time</x:v>
      </x:c>
      <x:c r="D247" t="str">
        <x:v>Weekday in Ordinary Time</x:v>
      </x:c>
      <x:c r="E247" t="str">
        <x:v>Weekday</x:v>
      </x:c>
      <x:c r="F247" s="14" t="str">
        <x:v>Saint Bruno; Blessed Marie Rose Durocher [Optional Memorial]</x:v>
      </x:c>
      <x:c r="G247" s="14" t="str">
        <x:v>✦ 🙏 📿</x:v>
      </x:c>
      <x:c r="H247" s="14" t="str"/>
      <x:c r="I247" s="80" t="str">
        <x:v>📿 54-Day Rosary Novena — Day 53/54 — popular Assumption-to-Our-Lady-of-the-Rosary alignment</x:v>
      </x:c>
      <x:c r="J247" s="14" t="str"/>
      <x:c r="K247" s="14" t="str"/>
      <x:c r="L247" s="14" t="str"/>
      <x:c r="M247" s="14" t="str"/>
      <x:c r="N247" s="14" t="str">
        <x:v>https://www.usccb.org/resources/2026cal.pdf
https://hallow.com/blog/how-to-pray-54-day-novena/</x:v>
      </x:c>
      <x:c r="O247" s="115" t="e">
        <x:f>HYPERLINK("https://bible.usccb.org/bible/readings/100626.cfm","USCCB readings ↗")</x:f>
        <x:v>HYPERLINK is not implemented. linkLocation=https://bible.usccb.org/bible/readings/100626.cfm, friendlyName=USCCB readings ↗</x:v>
      </x:c>
    </x:row>
    <x:row r="248">
      <x:c r="A248" s="38" t="n">
        <x:v>46302</x:v>
      </x:c>
      <x:c r="B248" t="str">
        <x:v>Wednesday</x:v>
      </x:c>
      <x:c r="C248" s="20" t="str">
        <x:v>Ordinary Time</x:v>
      </x:c>
      <x:c r="D248" t="str">
        <x:v>Our Lady of the Rosary</x:v>
      </x:c>
      <x:c r="E248" t="str">
        <x:v>Memorial</x:v>
      </x:c>
      <x:c r="F248" s="76" t="str">
        <x:v>Our Lady of the Rosary [Memorial]</x:v>
      </x:c>
      <x:c r="G248" s="14" t="str">
        <x:v>🌹 📿 🙏</x:v>
      </x:c>
      <x:c r="H248" s="14" t="str"/>
      <x:c r="I248" s="80" t="str">
        <x:v>📿 54-Day Rosary Novena — Day 54/54 [END] — popular Assumption-to-Our-Lady-of-the-Rosary alignment</x:v>
      </x:c>
      <x:c r="J248" s="14" t="str"/>
      <x:c r="K248" s="14" t="str"/>
      <x:c r="L248" s="14" t="str"/>
      <x:c r="M248" s="14" t="str"/>
      <x:c r="N248" s="14" t="str">
        <x:v>https://www.usccb.org/resources/2026cal.pdf
https://hallow.com/blog/how-to-pray-54-day-novena/</x:v>
      </x:c>
      <x:c r="O248" s="115" t="e">
        <x:f>HYPERLINK("https://bible.usccb.org/bible/readings/100726.cfm","USCCB readings ↗")</x:f>
        <x:v>HYPERLINK is not implemented. linkLocation=https://bible.usccb.org/bible/readings/100726.cfm, friendlyName=USCCB readings ↗</x:v>
      </x:c>
    </x:row>
    <x:row r="249">
      <x:c r="A249" s="38" t="n">
        <x:v>46304</x:v>
      </x:c>
      <x:c r="B249" t="str">
        <x:v>Friday</x:v>
      </x:c>
      <x:c r="C249" s="20" t="str">
        <x:v>Ordinary Time</x:v>
      </x:c>
      <x:c r="D249" t="str">
        <x:v>Weekday in Ordinary Time</x:v>
      </x:c>
      <x:c r="E249" t="str">
        <x:v>Weekday</x:v>
      </x:c>
      <x:c r="F249" s="14" t="str">
        <x:v>Saint Denis and Companions; Saint John Leonardi; Saint John Henry Newman [Optional Memorial]</x:v>
      </x:c>
      <x:c r="G249" s="14" t="str">
        <x:v>✦ Ⓟ</x:v>
      </x:c>
      <x:c r="H249" s="14" t="str"/>
      <x:c r="I249" s="14" t="str"/>
      <x:c r="J249" s="82" t="str">
        <x:v>Friday penance — outside Lent, U.S. Catholics may choose an appropriate penitential practice</x:v>
      </x:c>
      <x:c r="K249" s="14" t="str"/>
      <x:c r="L249" s="14" t="str"/>
      <x:c r="M249" s="14" t="str"/>
      <x:c r="N249" s="14" t="str">
        <x:v>https://www.usccb.org/resources/2026cal.pdf
https://www.usccb.org/prayer-and-worship/liturgical-year-and-calendar/lent/catholic-information-on-lenten-fast-and-abstinence</x:v>
      </x:c>
      <x:c r="O249" s="115" t="e">
        <x:f>HYPERLINK("https://bible.usccb.org/bible/readings/100926.cfm","USCCB readings ↗")</x:f>
        <x:v>HYPERLINK is not implemented. linkLocation=https://bible.usccb.org/bible/readings/100926.cfm, friendlyName=USCCB readings ↗</x:v>
      </x:c>
    </x:row>
    <x:row r="250">
      <x:c r="A250" s="38" t="n">
        <x:v>46306</x:v>
      </x:c>
      <x:c r="B250" t="str">
        <x:v>Sunday</x:v>
      </x:c>
      <x:c r="C250" s="20" t="str">
        <x:v>Ordinary Time</x:v>
      </x:c>
      <x:c r="D250" t="str">
        <x:v>Twenty-Eighth Sunday in Ordinary Time</x:v>
      </x:c>
      <x:c r="E250" t="str">
        <x:v>Sunday</x:v>
      </x:c>
      <x:c r="F250" s="14" t="str">
        <x:v>Saint John XXIII [Optional Memorial]</x:v>
      </x:c>
      <x:c r="G250" s="14" t="str">
        <x:v>✦ ⛪</x:v>
      </x:c>
      <x:c r="H250" s="78" t="str">
        <x:v>⛪ Sunday Mass obligation</x:v>
      </x:c>
      <x:c r="I250" s="14" t="str"/>
      <x:c r="J250" s="14" t="str"/>
      <x:c r="K250" s="14" t="str"/>
      <x:c r="L250" s="14" t="str"/>
      <x:c r="M250" s="14" t="str">
        <x:v>A fixed observance also falls today, but the Sunday or higher-ranking celebration takes liturgical precedence.</x:v>
      </x:c>
      <x:c r="N250" s="14" t="str">
        <x:v>https://www.usccb.org/resources/2026cal.pdf
https://www.usccb.org/beliefs-and-teachings/what-we-believe/canon-law/complementary-norms/canon-1246</x:v>
      </x:c>
      <x:c r="O250" s="115" t="e">
        <x:f>HYPERLINK("https://bible.usccb.org/bible/readings/101126.cfm","USCCB readings ↗")</x:f>
        <x:v>HYPERLINK is not implemented. linkLocation=https://bible.usccb.org/bible/readings/101126.cfm, friendlyName=USCCB readings ↗</x:v>
      </x:c>
    </x:row>
    <x:row r="251">
      <x:c r="A251" s="38" t="n">
        <x:v>46309</x:v>
      </x:c>
      <x:c r="B251" t="str">
        <x:v>Wednesday</x:v>
      </x:c>
      <x:c r="C251" s="20" t="str">
        <x:v>Ordinary Time</x:v>
      </x:c>
      <x:c r="D251" t="str">
        <x:v>Weekday in Ordinary Time</x:v>
      </x:c>
      <x:c r="E251" t="str">
        <x:v>Weekday</x:v>
      </x:c>
      <x:c r="F251" s="14" t="str">
        <x:v>Saint Callistus I [Optional Memorial]</x:v>
      </x:c>
      <x:c r="G251" s="14" t="str">
        <x:v>✦</x:v>
      </x:c>
      <x:c r="H251" s="14" t="str"/>
      <x:c r="I251" s="14" t="str"/>
      <x:c r="J251" s="14" t="str"/>
      <x:c r="K251" s="14" t="str"/>
      <x:c r="L251" s="14" t="str"/>
      <x:c r="M251" s="14" t="str"/>
      <x:c r="N251" s="14" t="str">
        <x:v>https://www.usccb.org/resources/2026cal.pdf</x:v>
      </x:c>
      <x:c r="O251" s="115" t="e">
        <x:f>HYPERLINK("https://bible.usccb.org/bible/readings/101426.cfm","USCCB readings ↗")</x:f>
        <x:v>HYPERLINK is not implemented. linkLocation=https://bible.usccb.org/bible/readings/101426.cfm, friendlyName=USCCB readings ↗</x:v>
      </x:c>
    </x:row>
    <x:row r="252">
      <x:c r="A252" s="38" t="n">
        <x:v>46310</x:v>
      </x:c>
      <x:c r="B252" t="str">
        <x:v>Thursday</x:v>
      </x:c>
      <x:c r="C252" s="20" t="str">
        <x:v>Ordinary Time</x:v>
      </x:c>
      <x:c r="D252" t="str">
        <x:v>Saint Teresa of Jesus (Ávila)</x:v>
      </x:c>
      <x:c r="E252" t="str">
        <x:v>Memorial</x:v>
      </x:c>
      <x:c r="F252" s="14" t="str">
        <x:v>Saint Teresa of Jesus (Ávila) [Memorial]</x:v>
      </x:c>
      <x:c r="G252" s="14" t="str">
        <x:v>✦</x:v>
      </x:c>
      <x:c r="H252" s="14" t="str"/>
      <x:c r="I252" s="14" t="str"/>
      <x:c r="J252" s="14" t="str"/>
      <x:c r="K252" s="14" t="str"/>
      <x:c r="L252" s="14" t="str"/>
      <x:c r="M252" s="14" t="str"/>
      <x:c r="N252" s="14" t="str">
        <x:v>https://www.usccb.org/resources/2026cal.pdf</x:v>
      </x:c>
      <x:c r="O252" s="115" t="e">
        <x:f>HYPERLINK("https://bible.usccb.org/bible/readings/101526.cfm","USCCB readings ↗")</x:f>
        <x:v>HYPERLINK is not implemented. linkLocation=https://bible.usccb.org/bible/readings/101526.cfm, friendlyName=USCCB readings ↗</x:v>
      </x:c>
    </x:row>
    <x:row r="253">
      <x:c r="A253" s="38" t="n">
        <x:v>46311</x:v>
      </x:c>
      <x:c r="B253" t="str">
        <x:v>Friday</x:v>
      </x:c>
      <x:c r="C253" s="20" t="str">
        <x:v>Ordinary Time</x:v>
      </x:c>
      <x:c r="D253" t="str">
        <x:v>Weekday in Ordinary Time</x:v>
      </x:c>
      <x:c r="E253" t="str">
        <x:v>Weekday</x:v>
      </x:c>
      <x:c r="F253" s="14" t="str">
        <x:v>Saint Hedwig; Saint Margaret Mary Alacoque [Optional Memorial]</x:v>
      </x:c>
      <x:c r="G253" s="14" t="str">
        <x:v>✦ Ⓟ</x:v>
      </x:c>
      <x:c r="H253" s="14" t="str"/>
      <x:c r="I253" s="14" t="str"/>
      <x:c r="J253" s="82" t="str">
        <x:v>Friday penance — outside Lent, U.S. Catholics may choose an appropriate penitential practice</x:v>
      </x:c>
      <x:c r="K253" s="14" t="str"/>
      <x:c r="L253" s="14" t="str"/>
      <x:c r="M253" s="14" t="str"/>
      <x:c r="N253" s="14" t="str">
        <x:v>https://www.usccb.org/resources/2026cal.pdf
https://www.usccb.org/prayer-and-worship/liturgical-year-and-calendar/lent/catholic-information-on-lenten-fast-and-abstinence</x:v>
      </x:c>
      <x:c r="O253" s="115" t="e">
        <x:f>HYPERLINK("https://bible.usccb.org/bible/readings/101626.cfm","USCCB readings ↗")</x:f>
        <x:v>HYPERLINK is not implemented. linkLocation=https://bible.usccb.org/bible/readings/101626.cfm, friendlyName=USCCB readings ↗</x:v>
      </x:c>
    </x:row>
    <x:row r="254">
      <x:c r="A254" s="38" t="n">
        <x:v>46312</x:v>
      </x:c>
      <x:c r="B254" t="str">
        <x:v>Saturday</x:v>
      </x:c>
      <x:c r="C254" s="20" t="str">
        <x:v>Ordinary Time</x:v>
      </x:c>
      <x:c r="D254" t="str">
        <x:v>Saint Ignatius of Antioch</x:v>
      </x:c>
      <x:c r="E254" t="str">
        <x:v>Memorial</x:v>
      </x:c>
      <x:c r="F254" s="14" t="str">
        <x:v>Saint Ignatius of Antioch [Memorial]</x:v>
      </x:c>
      <x:c r="G254" s="14" t="str">
        <x:v>✦</x:v>
      </x:c>
      <x:c r="H254" s="14" t="str"/>
      <x:c r="I254" s="14" t="str"/>
      <x:c r="J254" s="14" t="str"/>
      <x:c r="K254" s="14" t="str"/>
      <x:c r="L254" s="14" t="str"/>
      <x:c r="M254" s="14" t="str"/>
      <x:c r="N254" s="14" t="str">
        <x:v>https://www.usccb.org/resources/2026cal.pdf</x:v>
      </x:c>
      <x:c r="O254" s="115" t="e">
        <x:f>HYPERLINK("https://bible.usccb.org/bible/readings/101726.cfm","USCCB readings ↗")</x:f>
        <x:v>HYPERLINK is not implemented. linkLocation=https://bible.usccb.org/bible/readings/101726.cfm, friendlyName=USCCB readings ↗</x:v>
      </x:c>
    </x:row>
    <x:row r="255">
      <x:c r="A255" s="38" t="n">
        <x:v>46313</x:v>
      </x:c>
      <x:c r="B255" t="str">
        <x:v>Sunday</x:v>
      </x:c>
      <x:c r="C255" s="20" t="str">
        <x:v>Ordinary Time</x:v>
      </x:c>
      <x:c r="D255" t="str">
        <x:v>Twenty-Ninth Sunday in Ordinary Time</x:v>
      </x:c>
      <x:c r="E255" t="str">
        <x:v>Sunday</x:v>
      </x:c>
      <x:c r="F255" s="14" t="str">
        <x:v>Saint Luke, Evangelist [Feast]</x:v>
      </x:c>
      <x:c r="G255" s="14" t="str">
        <x:v>★ ✦ ⛪</x:v>
      </x:c>
      <x:c r="H255" s="78" t="str">
        <x:v>⛪ Sunday Mass obligation</x:v>
      </x:c>
      <x:c r="I255" s="14" t="str"/>
      <x:c r="J255" s="14" t="str"/>
      <x:c r="K255" s="14" t="str"/>
      <x:c r="L255" s="14" t="str"/>
      <x:c r="M255" s="14" t="str">
        <x:v>A fixed observance also falls today, but the Sunday or higher-ranking celebration takes liturgical precedence.</x:v>
      </x:c>
      <x:c r="N255" s="14" t="str">
        <x:v>https://www.usccb.org/resources/2026cal.pdf
https://www.usccb.org/beliefs-and-teachings/what-we-believe/canon-law/complementary-norms/canon-1246</x:v>
      </x:c>
      <x:c r="O255" s="115" t="e">
        <x:f>HYPERLINK("https://bible.usccb.org/bible/readings/101826.cfm","USCCB readings ↗")</x:f>
        <x:v>HYPERLINK is not implemented. linkLocation=https://bible.usccb.org/bible/readings/101826.cfm, friendlyName=USCCB readings ↗</x:v>
      </x:c>
    </x:row>
    <x:row r="256">
      <x:c r="A256" s="38" t="n">
        <x:v>46314</x:v>
      </x:c>
      <x:c r="B256" t="str">
        <x:v>Monday</x:v>
      </x:c>
      <x:c r="C256" s="20" t="str">
        <x:v>Ordinary Time</x:v>
      </x:c>
      <x:c r="D256" t="str">
        <x:v>Saints John de Brébeuf, Isaac Jogues and Companions</x:v>
      </x:c>
      <x:c r="E256" t="str">
        <x:v>Memorial</x:v>
      </x:c>
      <x:c r="F256" s="14" t="str">
        <x:v>Saints John de Brébeuf, Isaac Jogues and Companions [Memorial]</x:v>
      </x:c>
      <x:c r="G256" s="14" t="str">
        <x:v>✦</x:v>
      </x:c>
      <x:c r="H256" s="14" t="str"/>
      <x:c r="I256" s="14" t="str"/>
      <x:c r="J256" s="14" t="str"/>
      <x:c r="K256" s="14" t="str"/>
      <x:c r="L256" s="14" t="str"/>
      <x:c r="M256" s="14" t="str"/>
      <x:c r="N256" s="14" t="str">
        <x:v>https://www.usccb.org/resources/2026cal.pdf</x:v>
      </x:c>
      <x:c r="O256" s="115" t="e">
        <x:f>HYPERLINK("https://bible.usccb.org/bible/readings/101926.cfm","USCCB readings ↗")</x:f>
        <x:v>HYPERLINK is not implemented. linkLocation=https://bible.usccb.org/bible/readings/101926.cfm, friendlyName=USCCB readings ↗</x:v>
      </x:c>
    </x:row>
    <x:row r="257">
      <x:c r="A257" s="38" t="n">
        <x:v>46315</x:v>
      </x:c>
      <x:c r="B257" t="str">
        <x:v>Tuesday</x:v>
      </x:c>
      <x:c r="C257" s="20" t="str">
        <x:v>Ordinary Time</x:v>
      </x:c>
      <x:c r="D257" t="str">
        <x:v>Weekday in Ordinary Time</x:v>
      </x:c>
      <x:c r="E257" t="str">
        <x:v>Weekday</x:v>
      </x:c>
      <x:c r="F257" s="14" t="str">
        <x:v>Saint Paul of the Cross [Optional Memorial]</x:v>
      </x:c>
      <x:c r="G257" s="14" t="str">
        <x:v>✦</x:v>
      </x:c>
      <x:c r="H257" s="14" t="str"/>
      <x:c r="I257" s="14" t="str"/>
      <x:c r="J257" s="14" t="str"/>
      <x:c r="K257" s="14" t="str"/>
      <x:c r="L257" s="14" t="str"/>
      <x:c r="M257" s="14" t="str"/>
      <x:c r="N257" s="14" t="str">
        <x:v>https://www.usccb.org/resources/2026cal.pdf</x:v>
      </x:c>
      <x:c r="O257" s="115" t="e">
        <x:f>HYPERLINK("https://bible.usccb.org/bible/readings/102026.cfm","USCCB readings ↗")</x:f>
        <x:v>HYPERLINK is not implemented. linkLocation=https://bible.usccb.org/bible/readings/102026.cfm, friendlyName=USCCB readings ↗</x:v>
      </x:c>
    </x:row>
    <x:row r="258">
      <x:c r="A258" s="38" t="n">
        <x:v>46317</x:v>
      </x:c>
      <x:c r="B258" t="str">
        <x:v>Thursday</x:v>
      </x:c>
      <x:c r="C258" s="20" t="str">
        <x:v>Ordinary Time</x:v>
      </x:c>
      <x:c r="D258" t="str">
        <x:v>Weekday in Ordinary Time</x:v>
      </x:c>
      <x:c r="E258" t="str">
        <x:v>Weekday</x:v>
      </x:c>
      <x:c r="F258" s="14" t="str">
        <x:v>Saint John Paul II [Optional Memorial]</x:v>
      </x:c>
      <x:c r="G258" s="14" t="str">
        <x:v>✦</x:v>
      </x:c>
      <x:c r="H258" s="14" t="str"/>
      <x:c r="I258" s="14" t="str"/>
      <x:c r="J258" s="14" t="str"/>
      <x:c r="K258" s="14" t="str"/>
      <x:c r="L258" s="14" t="str"/>
      <x:c r="M258" s="14" t="str"/>
      <x:c r="N258" s="14" t="str">
        <x:v>https://www.usccb.org/resources/2026cal.pdf</x:v>
      </x:c>
      <x:c r="O258" s="115" t="e">
        <x:f>HYPERLINK("https://bible.usccb.org/bible/readings/102226.cfm","USCCB readings ↗")</x:f>
        <x:v>HYPERLINK is not implemented. linkLocation=https://bible.usccb.org/bible/readings/102226.cfm, friendlyName=USCCB readings ↗</x:v>
      </x:c>
    </x:row>
    <x:row r="259">
      <x:c r="A259" s="38" t="n">
        <x:v>46318</x:v>
      </x:c>
      <x:c r="B259" t="str">
        <x:v>Friday</x:v>
      </x:c>
      <x:c r="C259" s="20" t="str">
        <x:v>Ordinary Time</x:v>
      </x:c>
      <x:c r="D259" t="str">
        <x:v>Weekday in Ordinary Time</x:v>
      </x:c>
      <x:c r="E259" t="str">
        <x:v>Weekday</x:v>
      </x:c>
      <x:c r="F259" s="14" t="str">
        <x:v>Saint John of Capistrano [Optional Memorial]</x:v>
      </x:c>
      <x:c r="G259" s="14" t="str">
        <x:v>✦ Ⓟ</x:v>
      </x:c>
      <x:c r="H259" s="14" t="str"/>
      <x:c r="I259" s="14" t="str"/>
      <x:c r="J259" s="82" t="str">
        <x:v>Friday penance — outside Lent, U.S. Catholics may choose an appropriate penitential practice</x:v>
      </x:c>
      <x:c r="K259" s="14" t="str"/>
      <x:c r="L259" s="14" t="str"/>
      <x:c r="M259" s="14" t="str"/>
      <x:c r="N259" s="14" t="str">
        <x:v>https://www.usccb.org/resources/2026cal.pdf
https://www.usccb.org/prayer-and-worship/liturgical-year-and-calendar/lent/catholic-information-on-lenten-fast-and-abstinence</x:v>
      </x:c>
      <x:c r="O259" s="115" t="e">
        <x:f>HYPERLINK("https://bible.usccb.org/bible/readings/102326.cfm","USCCB readings ↗")</x:f>
        <x:v>HYPERLINK is not implemented. linkLocation=https://bible.usccb.org/bible/readings/102326.cfm, friendlyName=USCCB readings ↗</x:v>
      </x:c>
    </x:row>
    <x:row r="260">
      <x:c r="A260" s="38" t="n">
        <x:v>46319</x:v>
      </x:c>
      <x:c r="B260" t="str">
        <x:v>Saturday</x:v>
      </x:c>
      <x:c r="C260" s="20" t="str">
        <x:v>Ordinary Time</x:v>
      </x:c>
      <x:c r="D260" t="str">
        <x:v>Weekday in Ordinary Time</x:v>
      </x:c>
      <x:c r="E260" t="str">
        <x:v>Weekday</x:v>
      </x:c>
      <x:c r="F260" s="14" t="str">
        <x:v>Saint Anthony Mary Claret [Optional Memorial]</x:v>
      </x:c>
      <x:c r="G260" s="14" t="str">
        <x:v>✦</x:v>
      </x:c>
      <x:c r="H260" s="14" t="str"/>
      <x:c r="I260" s="14" t="str"/>
      <x:c r="J260" s="14" t="str"/>
      <x:c r="K260" s="14" t="str"/>
      <x:c r="L260" s="14" t="str"/>
      <x:c r="M260" s="14" t="str"/>
      <x:c r="N260" s="14" t="str">
        <x:v>https://www.usccb.org/resources/2026cal.pdf</x:v>
      </x:c>
      <x:c r="O260" s="115" t="e">
        <x:f>HYPERLINK("https://bible.usccb.org/bible/readings/102426.cfm","USCCB readings ↗")</x:f>
        <x:v>HYPERLINK is not implemented. linkLocation=https://bible.usccb.org/bible/readings/102426.cfm, friendlyName=USCCB readings ↗</x:v>
      </x:c>
    </x:row>
    <x:row r="261">
      <x:c r="A261" s="38" t="n">
        <x:v>46320</x:v>
      </x:c>
      <x:c r="B261" t="str">
        <x:v>Sunday</x:v>
      </x:c>
      <x:c r="C261" s="20" t="str">
        <x:v>Ordinary Time</x:v>
      </x:c>
      <x:c r="D261" t="str">
        <x:v>Thirtieth Sunday in Ordinary Time</x:v>
      </x:c>
      <x:c r="E261" t="str">
        <x:v>Sunday</x:v>
      </x:c>
      <x:c r="F261" s="14" t="str"/>
      <x:c r="G261" s="14" t="str">
        <x:v>⛪</x:v>
      </x:c>
      <x:c r="H261" s="78" t="str">
        <x:v>⛪ Sunday Mass obligation</x:v>
      </x:c>
      <x:c r="I261" s="14" t="str"/>
      <x:c r="J261" s="14" t="str"/>
      <x:c r="K261" s="14" t="str"/>
      <x:c r="L261" s="14" t="str"/>
      <x:c r="M261" s="14" t="str"/>
      <x:c r="N261" s="14" t="str">
        <x:v>https://www.usccb.org/resources/2026cal.pdf
https://www.usccb.org/beliefs-and-teachings/what-we-believe/canon-law/complementary-norms/canon-1246</x:v>
      </x:c>
      <x:c r="O261" s="115" t="e">
        <x:f>HYPERLINK("https://bible.usccb.org/bible/readings/102526.cfm","USCCB readings ↗")</x:f>
        <x:v>HYPERLINK is not implemented. linkLocation=https://bible.usccb.org/bible/readings/102526.cfm, friendlyName=USCCB readings ↗</x:v>
      </x:c>
    </x:row>
    <x:row r="262">
      <x:c r="A262" s="38" t="n">
        <x:v>46323</x:v>
      </x:c>
      <x:c r="B262" t="str">
        <x:v>Wednesday</x:v>
      </x:c>
      <x:c r="C262" s="20" t="str">
        <x:v>Ordinary Time</x:v>
      </x:c>
      <x:c r="D262" t="str">
        <x:v>Saints Simon and Jude, Apostles</x:v>
      </x:c>
      <x:c r="E262" t="str">
        <x:v>Feast</x:v>
      </x:c>
      <x:c r="F262" s="14" t="str">
        <x:v>Saints Simon and Jude, Apostles [Feast]</x:v>
      </x:c>
      <x:c r="G262" s="14" t="str">
        <x:v>★ ✦</x:v>
      </x:c>
      <x:c r="H262" s="14" t="str"/>
      <x:c r="I262" s="14" t="str"/>
      <x:c r="J262" s="14" t="str"/>
      <x:c r="K262" s="14" t="str"/>
      <x:c r="L262" s="14" t="str"/>
      <x:c r="M262" s="14" t="str"/>
      <x:c r="N262" s="14" t="str">
        <x:v>https://www.usccb.org/resources/2026cal.pdf</x:v>
      </x:c>
      <x:c r="O262" s="115" t="e">
        <x:f>HYPERLINK("https://bible.usccb.org/bible/readings/102826.cfm","USCCB readings ↗")</x:f>
        <x:v>HYPERLINK is not implemented. linkLocation=https://bible.usccb.org/bible/readings/102826.cfm, friendlyName=USCCB readings ↗</x:v>
      </x:c>
    </x:row>
    <x:row r="263">
      <x:c r="A263" s="38" t="n">
        <x:v>46325</x:v>
      </x:c>
      <x:c r="B263" t="str">
        <x:v>Friday</x:v>
      </x:c>
      <x:c r="C263" s="20" t="str">
        <x:v>Ordinary Time</x:v>
      </x:c>
      <x:c r="D263" t="str">
        <x:v>Weekday in Ordinary Time</x:v>
      </x:c>
      <x:c r="E263" t="str">
        <x:v>Weekday</x:v>
      </x:c>
      <x:c r="F263" s="14" t="str"/>
      <x:c r="G263" s="14" t="str">
        <x:v>Ⓟ</x:v>
      </x:c>
      <x:c r="H263" s="14" t="str"/>
      <x:c r="I263" s="14" t="str"/>
      <x:c r="J263" s="82" t="str">
        <x:v>Friday penance — outside Lent, U.S. Catholics may choose an appropriate penitential practice</x:v>
      </x:c>
      <x:c r="K263" s="14" t="str"/>
      <x:c r="L263" s="14" t="str"/>
      <x:c r="M263" s="14" t="str"/>
      <x:c r="N263" s="14" t="str">
        <x:v>https://www.usccb.org/resources/2026cal.pdf
https://www.usccb.org/prayer-and-worship/liturgical-year-and-calendar/lent/catholic-information-on-lenten-fast-and-abstinence</x:v>
      </x:c>
      <x:c r="O263" s="115" t="e">
        <x:f>HYPERLINK("https://bible.usccb.org/bible/readings/103026.cfm","USCCB readings ↗")</x:f>
        <x:v>HYPERLINK is not implemented. linkLocation=https://bible.usccb.org/bible/readings/103026.cfm, friendlyName=USCCB readings ↗</x:v>
      </x:c>
    </x:row>
    <x:row r="264">
      <x:c r="A264" s="38" t="n">
        <x:v>46327</x:v>
      </x:c>
      <x:c r="B264" t="str">
        <x:v>Sunday</x:v>
      </x:c>
      <x:c r="C264" s="20" t="str">
        <x:v>Ordinary Time</x:v>
      </x:c>
      <x:c r="D264" t="str">
        <x:v>All Saints</x:v>
      </x:c>
      <x:c r="E264" t="str">
        <x:v>Solemnity</x:v>
      </x:c>
      <x:c r="F264" s="14" t="str">
        <x:v>All Saints [Solemnity]</x:v>
      </x:c>
      <x:c r="G264" s="14" t="str">
        <x:v>★ ✦ ⛪</x:v>
      </x:c>
      <x:c r="H264" s="78" t="str">
        <x:v>⛪ Sunday Mass obligation</x:v>
      </x:c>
      <x:c r="I264" s="14" t="str"/>
      <x:c r="J264" s="14" t="str"/>
      <x:c r="K264" s="14" t="str"/>
      <x:c r="L264" s="14" t="str"/>
      <x:c r="M264" s="14" t="str"/>
      <x:c r="N264" s="14" t="str">
        <x:v>https://www.usccb.org/resources/2026cal.pdf
https://www.usccb.org/beliefs-and-teachings/what-we-believe/canon-law/complementary-norms/canon-1246</x:v>
      </x:c>
      <x:c r="O264" s="115" t="e">
        <x:f>HYPERLINK("https://bible.usccb.org/bible/readings/110126.cfm","USCCB readings ↗")</x:f>
        <x:v>HYPERLINK is not implemented. linkLocation=https://bible.usccb.org/bible/readings/110126.cfm, friendlyName=USCCB readings ↗</x:v>
      </x:c>
    </x:row>
    <x:row r="265">
      <x:c r="A265" s="38" t="n">
        <x:v>46328</x:v>
      </x:c>
      <x:c r="B265" t="str">
        <x:v>Monday</x:v>
      </x:c>
      <x:c r="C265" s="20" t="str">
        <x:v>Ordinary Time</x:v>
      </x:c>
      <x:c r="D265" t="str">
        <x:v>Weekday in Ordinary Time</x:v>
      </x:c>
      <x:c r="E265" t="str">
        <x:v>Weekday</x:v>
      </x:c>
      <x:c r="F265" s="14" t="str">
        <x:v>Commemoration of All the Faithful Departed (All Souls) [Commemoration]</x:v>
      </x:c>
      <x:c r="G265" s="14" t="str">
        <x:v>🕯</x:v>
      </x:c>
      <x:c r="H265" s="14" t="str"/>
      <x:c r="I265" s="14" t="str"/>
      <x:c r="J265" s="14" t="str"/>
      <x:c r="K265" s="14" t="str"/>
      <x:c r="L265" s="14" t="str"/>
      <x:c r="M265" s="14" t="str"/>
      <x:c r="N265" s="14" t="str">
        <x:v>https://www.usccb.org/resources/2026cal.pdf</x:v>
      </x:c>
      <x:c r="O265" s="115" t="e">
        <x:f>HYPERLINK("https://bible.usccb.org/bible/readings/110226.cfm","USCCB readings ↗")</x:f>
        <x:v>HYPERLINK is not implemented. linkLocation=https://bible.usccb.org/bible/readings/110226.cfm, friendlyName=USCCB readings ↗</x:v>
      </x:c>
    </x:row>
    <x:row r="266">
      <x:c r="A266" s="38" t="n">
        <x:v>46329</x:v>
      </x:c>
      <x:c r="B266" t="str">
        <x:v>Tuesday</x:v>
      </x:c>
      <x:c r="C266" s="20" t="str">
        <x:v>Ordinary Time</x:v>
      </x:c>
      <x:c r="D266" t="str">
        <x:v>Weekday in Ordinary Time</x:v>
      </x:c>
      <x:c r="E266" t="str">
        <x:v>Weekday</x:v>
      </x:c>
      <x:c r="F266" s="14" t="str">
        <x:v>Saint Martin de Porres [Optional Memorial]</x:v>
      </x:c>
      <x:c r="G266" s="14" t="str">
        <x:v>✦</x:v>
      </x:c>
      <x:c r="H266" s="14" t="str"/>
      <x:c r="I266" s="14" t="str"/>
      <x:c r="J266" s="14" t="str"/>
      <x:c r="K266" s="14" t="str"/>
      <x:c r="L266" s="14" t="str"/>
      <x:c r="M266" s="14" t="str"/>
      <x:c r="N266" s="14" t="str">
        <x:v>https://www.usccb.org/resources/2026cal.pdf</x:v>
      </x:c>
      <x:c r="O266" s="115" t="e">
        <x:f>HYPERLINK("https://bible.usccb.org/bible/readings/110326.cfm","USCCB readings ↗")</x:f>
        <x:v>HYPERLINK is not implemented. linkLocation=https://bible.usccb.org/bible/readings/110326.cfm, friendlyName=USCCB readings ↗</x:v>
      </x:c>
    </x:row>
    <x:row r="267">
      <x:c r="A267" s="38" t="n">
        <x:v>46330</x:v>
      </x:c>
      <x:c r="B267" t="str">
        <x:v>Wednesday</x:v>
      </x:c>
      <x:c r="C267" s="20" t="str">
        <x:v>Ordinary Time</x:v>
      </x:c>
      <x:c r="D267" t="str">
        <x:v>Saint Charles Borromeo</x:v>
      </x:c>
      <x:c r="E267" t="str">
        <x:v>Memorial</x:v>
      </x:c>
      <x:c r="F267" s="14" t="str">
        <x:v>Saint Charles Borromeo [Memorial]</x:v>
      </x:c>
      <x:c r="G267" s="14" t="str">
        <x:v>✦</x:v>
      </x:c>
      <x:c r="H267" s="14" t="str"/>
      <x:c r="I267" s="14" t="str"/>
      <x:c r="J267" s="14" t="str"/>
      <x:c r="K267" s="14" t="str"/>
      <x:c r="L267" s="14" t="str"/>
      <x:c r="M267" s="14" t="str"/>
      <x:c r="N267" s="14" t="str">
        <x:v>https://www.usccb.org/resources/2026cal.pdf</x:v>
      </x:c>
      <x:c r="O267" s="115" t="e">
        <x:f>HYPERLINK("https://bible.usccb.org/bible/readings/110426.cfm","USCCB readings ↗")</x:f>
        <x:v>HYPERLINK is not implemented. linkLocation=https://bible.usccb.org/bible/readings/110426.cfm, friendlyName=USCCB readings ↗</x:v>
      </x:c>
    </x:row>
    <x:row r="268">
      <x:c r="A268" s="38" t="n">
        <x:v>46332</x:v>
      </x:c>
      <x:c r="B268" t="str">
        <x:v>Friday</x:v>
      </x:c>
      <x:c r="C268" s="20" t="str">
        <x:v>Ordinary Time</x:v>
      </x:c>
      <x:c r="D268" t="str">
        <x:v>Weekday in Ordinary Time</x:v>
      </x:c>
      <x:c r="E268" t="str">
        <x:v>Weekday</x:v>
      </x:c>
      <x:c r="F268" s="14" t="str"/>
      <x:c r="G268" s="14" t="str">
        <x:v>🙏 Ⓟ</x:v>
      </x:c>
      <x:c r="H268" s="14" t="str"/>
      <x:c r="I268" s="80" t="str">
        <x:v>❤ First Friday — Sacred Heart devotion</x:v>
      </x:c>
      <x:c r="J268" s="82" t="str">
        <x:v>Friday penance — outside Lent, U.S. Catholics may choose an appropriate penitential practice</x:v>
      </x:c>
      <x:c r="K268" s="14" t="str"/>
      <x:c r="L268" s="14" t="str"/>
      <x:c r="M268" s="14" t="str"/>
      <x:c r="N268" s="14" t="str">
        <x:v>https://www.usccb.org/resources/2026cal.pdf
https://www.ewtn.com/catholicism/library/first-friday-devotion-to-sacred-heart-4692
https://www.usccb.org/prayer-and-worship/liturgical-year-and-calendar/lent/catholic-information-on-lenten-fast-and-abstinence</x:v>
      </x:c>
      <x:c r="O268" s="115" t="e">
        <x:f>HYPERLINK("https://bible.usccb.org/bible/readings/110626.cfm","USCCB readings ↗")</x:f>
        <x:v>HYPERLINK is not implemented. linkLocation=https://bible.usccb.org/bible/readings/110626.cfm, friendlyName=USCCB readings ↗</x:v>
      </x:c>
    </x:row>
    <x:row r="269">
      <x:c r="A269" s="38" t="n">
        <x:v>46333</x:v>
      </x:c>
      <x:c r="B269" t="str">
        <x:v>Saturday</x:v>
      </x:c>
      <x:c r="C269" s="20" t="str">
        <x:v>Ordinary Time</x:v>
      </x:c>
      <x:c r="D269" t="str">
        <x:v>Weekday in Ordinary Time</x:v>
      </x:c>
      <x:c r="E269" t="str">
        <x:v>Weekday</x:v>
      </x:c>
      <x:c r="F269" s="76" t="str"/>
      <x:c r="G269" s="14" t="str">
        <x:v>🙏 🌹</x:v>
      </x:c>
      <x:c r="H269" s="14" t="str"/>
      <x:c r="I269" s="80" t="str">
        <x:v>🌹 First Saturday — Immaculate Heart devotion</x:v>
      </x:c>
      <x:c r="J269" s="14" t="str"/>
      <x:c r="K269" s="14" t="str"/>
      <x:c r="L269" s="14" t="str"/>
      <x:c r="M269" s="14" t="str"/>
      <x:c r="N269" s="14" t="str">
        <x:v>https://www.usccb.org/resources/2026cal.pdf
https://www.ewtn.com/catholicism/library/revelation-of-the-immaculate-heart-at-fatima-in-1917-5465</x:v>
      </x:c>
      <x:c r="O269" s="115" t="e">
        <x:f>HYPERLINK("https://bible.usccb.org/bible/readings/110726.cfm","USCCB readings ↗")</x:f>
        <x:v>HYPERLINK is not implemented. linkLocation=https://bible.usccb.org/bible/readings/110726.cfm, friendlyName=USCCB readings ↗</x:v>
      </x:c>
    </x:row>
    <x:row r="270">
      <x:c r="A270" s="38" t="n">
        <x:v>46334</x:v>
      </x:c>
      <x:c r="B270" t="str">
        <x:v>Sunday</x:v>
      </x:c>
      <x:c r="C270" s="20" t="str">
        <x:v>Ordinary Time</x:v>
      </x:c>
      <x:c r="D270" t="str">
        <x:v>Thirty-Second Sunday in Ordinary Time</x:v>
      </x:c>
      <x:c r="E270" t="str">
        <x:v>Sunday</x:v>
      </x:c>
      <x:c r="F270" s="14" t="str"/>
      <x:c r="G270" s="14" t="str">
        <x:v>⛪</x:v>
      </x:c>
      <x:c r="H270" s="78" t="str">
        <x:v>⛪ Sunday Mass obligation</x:v>
      </x:c>
      <x:c r="I270" s="14" t="str"/>
      <x:c r="J270" s="14" t="str"/>
      <x:c r="K270" s="14" t="str"/>
      <x:c r="L270" s="14" t="str"/>
      <x:c r="M270" s="14" t="str"/>
      <x:c r="N270" s="14" t="str">
        <x:v>https://www.usccb.org/resources/2026cal.pdf
https://www.usccb.org/beliefs-and-teachings/what-we-believe/canon-law/complementary-norms/canon-1246</x:v>
      </x:c>
      <x:c r="O270" s="115" t="e">
        <x:f>HYPERLINK("https://bible.usccb.org/bible/readings/110826.cfm","USCCB readings ↗")</x:f>
        <x:v>HYPERLINK is not implemented. linkLocation=https://bible.usccb.org/bible/readings/110826.cfm, friendlyName=USCCB readings ↗</x:v>
      </x:c>
    </x:row>
    <x:row r="271">
      <x:c r="A271" s="38" t="n">
        <x:v>46335</x:v>
      </x:c>
      <x:c r="B271" t="str">
        <x:v>Monday</x:v>
      </x:c>
      <x:c r="C271" s="20" t="str">
        <x:v>Ordinary Time</x:v>
      </x:c>
      <x:c r="D271" t="str">
        <x:v>Dedication of the Lateran Basilica</x:v>
      </x:c>
      <x:c r="E271" t="str">
        <x:v>Feast</x:v>
      </x:c>
      <x:c r="F271" s="14" t="str">
        <x:v>Dedication of the Lateran Basilica [Feast]</x:v>
      </x:c>
      <x:c r="G271" s="14" t="str">
        <x:v>★</x:v>
      </x:c>
      <x:c r="H271" s="14" t="str"/>
      <x:c r="I271" s="14" t="str"/>
      <x:c r="J271" s="14" t="str"/>
      <x:c r="K271" s="14" t="str"/>
      <x:c r="L271" s="14" t="str"/>
      <x:c r="M271" s="14" t="str"/>
      <x:c r="N271" s="14" t="str">
        <x:v>https://www.usccb.org/resources/2026cal.pdf</x:v>
      </x:c>
      <x:c r="O271" s="115" t="e">
        <x:f>HYPERLINK("https://bible.usccb.org/bible/readings/110926.cfm","USCCB readings ↗")</x:f>
        <x:v>HYPERLINK is not implemented. linkLocation=https://bible.usccb.org/bible/readings/110926.cfm, friendlyName=USCCB readings ↗</x:v>
      </x:c>
    </x:row>
    <x:row r="272">
      <x:c r="A272" s="38" t="n">
        <x:v>46336</x:v>
      </x:c>
      <x:c r="B272" t="str">
        <x:v>Tuesday</x:v>
      </x:c>
      <x:c r="C272" s="20" t="str">
        <x:v>Ordinary Time</x:v>
      </x:c>
      <x:c r="D272" t="str">
        <x:v>Saint Leo the Great</x:v>
      </x:c>
      <x:c r="E272" t="str">
        <x:v>Memorial</x:v>
      </x:c>
      <x:c r="F272" s="14" t="str">
        <x:v>Saint Leo the Great [Memorial]</x:v>
      </x:c>
      <x:c r="G272" s="14" t="str">
        <x:v>✦</x:v>
      </x:c>
      <x:c r="H272" s="14" t="str"/>
      <x:c r="I272" s="14" t="str"/>
      <x:c r="J272" s="14" t="str"/>
      <x:c r="K272" s="14" t="str"/>
      <x:c r="L272" s="14" t="str"/>
      <x:c r="M272" s="14" t="str"/>
      <x:c r="N272" s="14" t="str">
        <x:v>https://www.usccb.org/resources/2026cal.pdf</x:v>
      </x:c>
      <x:c r="O272" s="115" t="e">
        <x:f>HYPERLINK("https://bible.usccb.org/bible/readings/111026.cfm","USCCB readings ↗")</x:f>
        <x:v>HYPERLINK is not implemented. linkLocation=https://bible.usccb.org/bible/readings/111026.cfm, friendlyName=USCCB readings ↗</x:v>
      </x:c>
    </x:row>
    <x:row r="273">
      <x:c r="A273" s="38" t="n">
        <x:v>46337</x:v>
      </x:c>
      <x:c r="B273" t="str">
        <x:v>Wednesday</x:v>
      </x:c>
      <x:c r="C273" s="20" t="str">
        <x:v>Ordinary Time</x:v>
      </x:c>
      <x:c r="D273" t="str">
        <x:v>Saint Martin of Tours</x:v>
      </x:c>
      <x:c r="E273" t="str">
        <x:v>Memorial</x:v>
      </x:c>
      <x:c r="F273" s="14" t="str">
        <x:v>Saint Martin of Tours [Memorial]</x:v>
      </x:c>
      <x:c r="G273" s="14" t="str">
        <x:v>✦</x:v>
      </x:c>
      <x:c r="H273" s="14" t="str"/>
      <x:c r="I273" s="14" t="str"/>
      <x:c r="J273" s="14" t="str"/>
      <x:c r="K273" s="14" t="str"/>
      <x:c r="L273" s="14" t="str"/>
      <x:c r="M273" s="14" t="str"/>
      <x:c r="N273" s="14" t="str">
        <x:v>https://www.usccb.org/resources/2026cal.pdf</x:v>
      </x:c>
      <x:c r="O273" s="115" t="e">
        <x:f>HYPERLINK("https://bible.usccb.org/bible/readings/111126.cfm","USCCB readings ↗")</x:f>
        <x:v>HYPERLINK is not implemented. linkLocation=https://bible.usccb.org/bible/readings/111126.cfm, friendlyName=USCCB readings ↗</x:v>
      </x:c>
    </x:row>
    <x:row r="274">
      <x:c r="A274" s="38" t="n">
        <x:v>46338</x:v>
      </x:c>
      <x:c r="B274" t="str">
        <x:v>Thursday</x:v>
      </x:c>
      <x:c r="C274" s="20" t="str">
        <x:v>Ordinary Time</x:v>
      </x:c>
      <x:c r="D274" t="str">
        <x:v>Saint Josaphat</x:v>
      </x:c>
      <x:c r="E274" t="str">
        <x:v>Memorial</x:v>
      </x:c>
      <x:c r="F274" s="14" t="str">
        <x:v>Saint Josaphat [Memorial]</x:v>
      </x:c>
      <x:c r="G274" s="14" t="str">
        <x:v>✦ 🕯</x:v>
      </x:c>
      <x:c r="H274" s="14" t="str"/>
      <x:c r="I274" s="14" t="str"/>
      <x:c r="J274" s="14" t="str"/>
      <x:c r="K274" s="84" t="str">
        <x:v>🕯 St. Martin's Lent / historical Advent fast</x:v>
      </x:c>
      <x:c r="L274" s="14" t="str"/>
      <x:c r="M274" s="14" t="str"/>
      <x:c r="N274" s="14" t="str">
        <x:v>https://www.usccb.org/resources/2026cal.pdf
https://www.newadvent.org/cathen/06394b.htm</x:v>
      </x:c>
      <x:c r="O274" s="115" t="e">
        <x:f>HYPERLINK("https://bible.usccb.org/bible/readings/111226.cfm","USCCB readings ↗")</x:f>
        <x:v>HYPERLINK is not implemented. linkLocation=https://bible.usccb.org/bible/readings/111226.cfm, friendlyName=USCCB readings ↗</x:v>
      </x:c>
    </x:row>
    <x:row r="275">
      <x:c r="A275" s="38" t="n">
        <x:v>46339</x:v>
      </x:c>
      <x:c r="B275" t="str">
        <x:v>Friday</x:v>
      </x:c>
      <x:c r="C275" s="20" t="str">
        <x:v>Ordinary Time</x:v>
      </x:c>
      <x:c r="D275" t="str">
        <x:v>Saint Frances Xavier Cabrini</x:v>
      </x:c>
      <x:c r="E275" t="str">
        <x:v>Memorial</x:v>
      </x:c>
      <x:c r="F275" s="14" t="str">
        <x:v>Saint Frances Xavier Cabrini [Memorial]</x:v>
      </x:c>
      <x:c r="G275" s="14" t="str">
        <x:v>✦ Ⓟ 🕯</x:v>
      </x:c>
      <x:c r="H275" s="14" t="str"/>
      <x:c r="I275" s="14" t="str"/>
      <x:c r="J275" s="82" t="str">
        <x:v>Friday penance — outside Lent, U.S. Catholics may choose an appropriate penitential practice</x:v>
      </x:c>
      <x:c r="K275" s="84" t="str">
        <x:v>🕯 St. Martin's Lent / historical Advent fast</x:v>
      </x:c>
      <x:c r="L275" s="14" t="str"/>
      <x:c r="M275" s="14" t="str"/>
      <x:c r="N275" s="14" t="str">
        <x:v>https://www.usccb.org/resources/2026cal.pdf
https://www.usccb.org/prayer-and-worship/liturgical-year-and-calendar/lent/catholic-information-on-lenten-fast-and-abstinence
https://www.newadvent.org/cathen/06394b.htm</x:v>
      </x:c>
      <x:c r="O275" s="115" t="e">
        <x:f>HYPERLINK("https://bible.usccb.org/bible/readings/111326.cfm","USCCB readings ↗")</x:f>
        <x:v>HYPERLINK is not implemented. linkLocation=https://bible.usccb.org/bible/readings/111326.cfm, friendlyName=USCCB readings ↗</x:v>
      </x:c>
    </x:row>
    <x:row r="276">
      <x:c r="A276" s="38" t="n">
        <x:v>46340</x:v>
      </x:c>
      <x:c r="B276" t="str">
        <x:v>Saturday</x:v>
      </x:c>
      <x:c r="C276" s="20" t="str">
        <x:v>Ordinary Time</x:v>
      </x:c>
      <x:c r="D276" t="str">
        <x:v>Weekday in Ordinary Time</x:v>
      </x:c>
      <x:c r="E276" t="str">
        <x:v>Weekday</x:v>
      </x:c>
      <x:c r="F276" s="14" t="str"/>
      <x:c r="G276" s="14" t="str">
        <x:v>🕯</x:v>
      </x:c>
      <x:c r="H276" s="14" t="str"/>
      <x:c r="I276" s="14" t="str"/>
      <x:c r="J276" s="14" t="str"/>
      <x:c r="K276" s="84" t="str">
        <x:v>🕯 St. Martin's Lent / historical Advent fast</x:v>
      </x:c>
      <x:c r="L276" s="14" t="str"/>
      <x:c r="M276" s="14" t="str"/>
      <x:c r="N276" s="14" t="str">
        <x:v>https://www.usccb.org/resources/2026cal.pdf
https://www.newadvent.org/cathen/06394b.htm</x:v>
      </x:c>
      <x:c r="O276" s="115" t="e">
        <x:f>HYPERLINK("https://bible.usccb.org/bible/readings/111426.cfm","USCCB readings ↗")</x:f>
        <x:v>HYPERLINK is not implemented. linkLocation=https://bible.usccb.org/bible/readings/111426.cfm, friendlyName=USCCB readings ↗</x:v>
      </x:c>
    </x:row>
    <x:row r="277">
      <x:c r="A277" s="38" t="n">
        <x:v>46341</x:v>
      </x:c>
      <x:c r="B277" t="str">
        <x:v>Sunday</x:v>
      </x:c>
      <x:c r="C277" s="20" t="str">
        <x:v>Ordinary Time</x:v>
      </x:c>
      <x:c r="D277" t="str">
        <x:v>Thirty-Third Sunday in Ordinary Time</x:v>
      </x:c>
      <x:c r="E277" t="str">
        <x:v>Sunday</x:v>
      </x:c>
      <x:c r="F277" s="14" t="str">
        <x:v>Saint Albert the Great [Optional Memorial]</x:v>
      </x:c>
      <x:c r="G277" s="14" t="str">
        <x:v>✦ ⛪ 🕯</x:v>
      </x:c>
      <x:c r="H277" s="78" t="str">
        <x:v>⛪ Sunday Mass obligation</x:v>
      </x:c>
      <x:c r="I277" s="14" t="str"/>
      <x:c r="J277" s="14" t="str"/>
      <x:c r="K277" s="84" t="str">
        <x:v>🕯 St. Martin's Lent / historical Advent fast</x:v>
      </x:c>
      <x:c r="L277" s="14" t="str"/>
      <x:c r="M277" s="14" t="str">
        <x:v>A fixed observance also falls today, but the Sunday or higher-ranking celebration takes liturgical precedence.</x:v>
      </x:c>
      <x:c r="N277" s="14" t="str">
        <x:v>https://www.usccb.org/resources/2026cal.pdf
https://www.usccb.org/beliefs-and-teachings/what-we-believe/canon-law/complementary-norms/canon-1246
https://www.newadvent.org/cathen/06394b.htm</x:v>
      </x:c>
      <x:c r="O277" s="115" t="e">
        <x:f>HYPERLINK("https://bible.usccb.org/bible/readings/111526.cfm","USCCB readings ↗")</x:f>
        <x:v>HYPERLINK is not implemented. linkLocation=https://bible.usccb.org/bible/readings/111526.cfm, friendlyName=USCCB readings ↗</x:v>
      </x:c>
    </x:row>
    <x:row r="278">
      <x:c r="A278" s="38" t="n">
        <x:v>46342</x:v>
      </x:c>
      <x:c r="B278" t="str">
        <x:v>Monday</x:v>
      </x:c>
      <x:c r="C278" s="20" t="str">
        <x:v>Ordinary Time</x:v>
      </x:c>
      <x:c r="D278" t="str">
        <x:v>Weekday in Ordinary Time</x:v>
      </x:c>
      <x:c r="E278" t="str">
        <x:v>Weekday</x:v>
      </x:c>
      <x:c r="F278" s="14" t="str">
        <x:v>Saint Margaret of Scotland; Saint Gertrude [Optional Memorial]</x:v>
      </x:c>
      <x:c r="G278" s="14" t="str">
        <x:v>✦ 🕯</x:v>
      </x:c>
      <x:c r="H278" s="14" t="str"/>
      <x:c r="I278" s="14" t="str"/>
      <x:c r="J278" s="14" t="str"/>
      <x:c r="K278" s="84" t="str">
        <x:v>🕯 St. Martin's Lent / historical Advent fast</x:v>
      </x:c>
      <x:c r="L278" s="14" t="str"/>
      <x:c r="M278" s="14" t="str"/>
      <x:c r="N278" s="14" t="str">
        <x:v>https://www.usccb.org/resources/2026cal.pdf
https://www.newadvent.org/cathen/06394b.htm</x:v>
      </x:c>
      <x:c r="O278" s="115" t="e">
        <x:f>HYPERLINK("https://bible.usccb.org/bible/readings/111626.cfm","USCCB readings ↗")</x:f>
        <x:v>HYPERLINK is not implemented. linkLocation=https://bible.usccb.org/bible/readings/111626.cfm, friendlyName=USCCB readings ↗</x:v>
      </x:c>
    </x:row>
    <x:row r="279">
      <x:c r="A279" s="38" t="n">
        <x:v>46343</x:v>
      </x:c>
      <x:c r="B279" t="str">
        <x:v>Tuesday</x:v>
      </x:c>
      <x:c r="C279" s="20" t="str">
        <x:v>Ordinary Time</x:v>
      </x:c>
      <x:c r="D279" t="str">
        <x:v>Saint Elizabeth of Hungary</x:v>
      </x:c>
      <x:c r="E279" t="str">
        <x:v>Memorial</x:v>
      </x:c>
      <x:c r="F279" s="14" t="str">
        <x:v>Saint Elizabeth of Hungary [Memorial]</x:v>
      </x:c>
      <x:c r="G279" s="14" t="str">
        <x:v>✦ 🕯</x:v>
      </x:c>
      <x:c r="H279" s="14" t="str"/>
      <x:c r="I279" s="14" t="str"/>
      <x:c r="J279" s="14" t="str"/>
      <x:c r="K279" s="84" t="str">
        <x:v>🕯 St. Martin's Lent / historical Advent fast</x:v>
      </x:c>
      <x:c r="L279" s="14" t="str"/>
      <x:c r="M279" s="14" t="str"/>
      <x:c r="N279" s="14" t="str">
        <x:v>https://www.usccb.org/resources/2026cal.pdf
https://www.newadvent.org/cathen/06394b.htm</x:v>
      </x:c>
      <x:c r="O279" s="115" t="e">
        <x:f>HYPERLINK("https://bible.usccb.org/bible/readings/111726.cfm","USCCB readings ↗")</x:f>
        <x:v>HYPERLINK is not implemented. linkLocation=https://bible.usccb.org/bible/readings/111726.cfm, friendlyName=USCCB readings ↗</x:v>
      </x:c>
    </x:row>
    <x:row r="280">
      <x:c r="A280" s="38" t="n">
        <x:v>46344</x:v>
      </x:c>
      <x:c r="B280" t="str">
        <x:v>Wednesday</x:v>
      </x:c>
      <x:c r="C280" s="20" t="str">
        <x:v>Ordinary Time</x:v>
      </x:c>
      <x:c r="D280" t="str">
        <x:v>Weekday in Ordinary Time</x:v>
      </x:c>
      <x:c r="E280" t="str">
        <x:v>Weekday</x:v>
      </x:c>
      <x:c r="F280" s="14" t="str">
        <x:v>Dedication of the Basilicas of Saints Peter and Paul; Saint Rose Philippine Duchesne [Optional Memorial]</x:v>
      </x:c>
      <x:c r="G280" s="14" t="str">
        <x:v>✦ 🕯</x:v>
      </x:c>
      <x:c r="H280" s="14" t="str"/>
      <x:c r="I280" s="14" t="str"/>
      <x:c r="J280" s="14" t="str"/>
      <x:c r="K280" s="84" t="str">
        <x:v>🕯 St. Martin's Lent / historical Advent fast</x:v>
      </x:c>
      <x:c r="L280" s="14" t="str"/>
      <x:c r="M280" s="14" t="str"/>
      <x:c r="N280" s="14" t="str">
        <x:v>https://www.usccb.org/resources/2026cal.pdf
https://www.newadvent.org/cathen/06394b.htm</x:v>
      </x:c>
      <x:c r="O280" s="115" t="e">
        <x:f>HYPERLINK("https://bible.usccb.org/bible/readings/111826.cfm","USCCB readings ↗")</x:f>
        <x:v>HYPERLINK is not implemented. linkLocation=https://bible.usccb.org/bible/readings/111826.cfm, friendlyName=USCCB readings ↗</x:v>
      </x:c>
    </x:row>
    <x:row r="281">
      <x:c r="A281" s="38" t="n">
        <x:v>46345</x:v>
      </x:c>
      <x:c r="B281" t="str">
        <x:v>Thursday</x:v>
      </x:c>
      <x:c r="C281" s="20" t="str">
        <x:v>Ordinary Time</x:v>
      </x:c>
      <x:c r="D281" t="str">
        <x:v>Weekday in Ordinary Time</x:v>
      </x:c>
      <x:c r="E281" t="str">
        <x:v>Weekday</x:v>
      </x:c>
      <x:c r="F281" s="14" t="str"/>
      <x:c r="G281" s="14" t="str">
        <x:v>🕯</x:v>
      </x:c>
      <x:c r="H281" s="14" t="str"/>
      <x:c r="I281" s="14" t="str"/>
      <x:c r="J281" s="14" t="str"/>
      <x:c r="K281" s="84" t="str">
        <x:v>🕯 St. Martin's Lent / historical Advent fast</x:v>
      </x:c>
      <x:c r="L281" s="14" t="str"/>
      <x:c r="M281" s="14" t="str"/>
      <x:c r="N281" s="14" t="str">
        <x:v>https://www.usccb.org/resources/2026cal.pdf
https://www.newadvent.org/cathen/06394b.htm</x:v>
      </x:c>
      <x:c r="O281" s="115" t="e">
        <x:f>HYPERLINK("https://bible.usccb.org/bible/readings/111926.cfm","USCCB readings ↗")</x:f>
        <x:v>HYPERLINK is not implemented. linkLocation=https://bible.usccb.org/bible/readings/111926.cfm, friendlyName=USCCB readings ↗</x:v>
      </x:c>
    </x:row>
    <x:row r="282">
      <x:c r="A282" s="38" t="n">
        <x:v>46346</x:v>
      </x:c>
      <x:c r="B282" t="str">
        <x:v>Friday</x:v>
      </x:c>
      <x:c r="C282" s="20" t="str">
        <x:v>Ordinary Time</x:v>
      </x:c>
      <x:c r="D282" t="str">
        <x:v>Weekday in Ordinary Time</x:v>
      </x:c>
      <x:c r="E282" t="str">
        <x:v>Weekday</x:v>
      </x:c>
      <x:c r="F282" s="14" t="str"/>
      <x:c r="G282" s="14" t="str">
        <x:v>Ⓟ 🕯</x:v>
      </x:c>
      <x:c r="H282" s="14" t="str"/>
      <x:c r="I282" s="14" t="str"/>
      <x:c r="J282" s="82" t="str">
        <x:v>Friday penance — outside Lent, U.S. Catholics may choose an appropriate penitential practice</x:v>
      </x:c>
      <x:c r="K282" s="84" t="str">
        <x:v>🕯 St. Martin's Lent / historical Advent fast</x:v>
      </x:c>
      <x:c r="L282" s="14" t="str"/>
      <x:c r="M282" s="14" t="str"/>
      <x:c r="N282" s="14" t="str">
        <x:v>https://www.usccb.org/resources/2026cal.pdf
https://www.usccb.org/prayer-and-worship/liturgical-year-and-calendar/lent/catholic-information-on-lenten-fast-and-abstinence
https://www.newadvent.org/cathen/06394b.htm</x:v>
      </x:c>
      <x:c r="O282" s="115" t="e">
        <x:f>HYPERLINK("https://bible.usccb.org/bible/readings/112026.cfm","USCCB readings ↗")</x:f>
        <x:v>HYPERLINK is not implemented. linkLocation=https://bible.usccb.org/bible/readings/112026.cfm, friendlyName=USCCB readings ↗</x:v>
      </x:c>
    </x:row>
    <x:row r="283">
      <x:c r="A283" s="38" t="n">
        <x:v>46347</x:v>
      </x:c>
      <x:c r="B283" t="str">
        <x:v>Saturday</x:v>
      </x:c>
      <x:c r="C283" s="20" t="str">
        <x:v>Ordinary Time</x:v>
      </x:c>
      <x:c r="D283" t="str">
        <x:v>Presentation of the Blessed Virgin Mary</x:v>
      </x:c>
      <x:c r="E283" t="str">
        <x:v>Memorial</x:v>
      </x:c>
      <x:c r="F283" s="76" t="str">
        <x:v>Presentation of the Blessed Virgin Mary [Memorial]</x:v>
      </x:c>
      <x:c r="G283" s="14" t="str">
        <x:v>🌹 🕯</x:v>
      </x:c>
      <x:c r="H283" s="14" t="str"/>
      <x:c r="I283" s="14" t="str"/>
      <x:c r="J283" s="14" t="str"/>
      <x:c r="K283" s="84" t="str">
        <x:v>🕯 St. Martin's Lent / historical Advent fast</x:v>
      </x:c>
      <x:c r="L283" s="14" t="str"/>
      <x:c r="M283" s="14" t="str"/>
      <x:c r="N283" s="14" t="str">
        <x:v>https://www.usccb.org/resources/2026cal.pdf
https://www.newadvent.org/cathen/06394b.htm</x:v>
      </x:c>
      <x:c r="O283" s="115" t="e">
        <x:f>HYPERLINK("https://bible.usccb.org/bible/readings/112126.cfm","USCCB readings ↗")</x:f>
        <x:v>HYPERLINK is not implemented. linkLocation=https://bible.usccb.org/bible/readings/112126.cfm, friendlyName=USCCB readings ↗</x:v>
      </x:c>
    </x:row>
    <x:row r="284">
      <x:c r="A284" s="38" t="n">
        <x:v>46348</x:v>
      </x:c>
      <x:c r="B284" t="str">
        <x:v>Sunday</x:v>
      </x:c>
      <x:c r="C284" s="20" t="str">
        <x:v>Ordinary Time</x:v>
      </x:c>
      <x:c r="D284" t="str">
        <x:v>Our Lord Jesus Christ, King of the Universe</x:v>
      </x:c>
      <x:c r="E284" t="str">
        <x:v>Solemnity</x:v>
      </x:c>
      <x:c r="F284" s="14" t="str">
        <x:v>Saint Cecilia [Memorial]</x:v>
      </x:c>
      <x:c r="G284" s="14" t="str">
        <x:v>★ ✝ ✦ ⛪ 🕯</x:v>
      </x:c>
      <x:c r="H284" s="78" t="str">
        <x:v>⛪ Sunday Mass obligation</x:v>
      </x:c>
      <x:c r="I284" s="14" t="str"/>
      <x:c r="J284" s="14" t="str"/>
      <x:c r="K284" s="84" t="str">
        <x:v>🕯 St. Martin's Lent / historical Advent fast</x:v>
      </x:c>
      <x:c r="L284" s="14" t="str"/>
      <x:c r="M284" s="14" t="str">
        <x:v>A fixed observance also falls today, but the Sunday or higher-ranking celebration takes liturgical precedence.</x:v>
      </x:c>
      <x:c r="N284" s="14" t="str">
        <x:v>https://www.usccb.org/resources/2026cal.pdf
https://www.usccb.org/beliefs-and-teachings/what-we-believe/canon-law/complementary-norms/canon-1246
https://www.newadvent.org/cathen/06394b.htm</x:v>
      </x:c>
      <x:c r="O284" s="115" t="e">
        <x:f>HYPERLINK("https://bible.usccb.org/bible/readings/112226.cfm","USCCB readings ↗")</x:f>
        <x:v>HYPERLINK is not implemented. linkLocation=https://bible.usccb.org/bible/readings/112226.cfm, friendlyName=USCCB readings ↗</x:v>
      </x:c>
    </x:row>
    <x:row r="285">
      <x:c r="A285" s="38" t="n">
        <x:v>46349</x:v>
      </x:c>
      <x:c r="B285" t="str">
        <x:v>Monday</x:v>
      </x:c>
      <x:c r="C285" s="20" t="str">
        <x:v>Ordinary Time</x:v>
      </x:c>
      <x:c r="D285" t="str">
        <x:v>Weekday in Ordinary Time</x:v>
      </x:c>
      <x:c r="E285" t="str">
        <x:v>Weekday</x:v>
      </x:c>
      <x:c r="F285" s="14" t="str">
        <x:v>Saint Clement I; Saint Columban; Blessed Miguel Agustín Pro [Optional Memorial]</x:v>
      </x:c>
      <x:c r="G285" s="14" t="str">
        <x:v>✦ 🕯</x:v>
      </x:c>
      <x:c r="H285" s="14" t="str"/>
      <x:c r="I285" s="14" t="str"/>
      <x:c r="J285" s="14" t="str"/>
      <x:c r="K285" s="84" t="str">
        <x:v>🕯 St. Martin's Lent / historical Advent fast</x:v>
      </x:c>
      <x:c r="L285" s="14" t="str"/>
      <x:c r="M285" s="14" t="str"/>
      <x:c r="N285" s="14" t="str">
        <x:v>https://www.usccb.org/resources/2026cal.pdf
https://www.newadvent.org/cathen/06394b.htm</x:v>
      </x:c>
      <x:c r="O285" s="115" t="e">
        <x:f>HYPERLINK("https://bible.usccb.org/bible/readings/112326.cfm","USCCB readings ↗")</x:f>
        <x:v>HYPERLINK is not implemented. linkLocation=https://bible.usccb.org/bible/readings/112326.cfm, friendlyName=USCCB readings ↗</x:v>
      </x:c>
    </x:row>
    <x:row r="286">
      <x:c r="A286" s="38" t="n">
        <x:v>46350</x:v>
      </x:c>
      <x:c r="B286" t="str">
        <x:v>Tuesday</x:v>
      </x:c>
      <x:c r="C286" s="20" t="str">
        <x:v>Ordinary Time</x:v>
      </x:c>
      <x:c r="D286" t="str">
        <x:v>Saint Andrew Dũng-Lạc and Companions</x:v>
      </x:c>
      <x:c r="E286" t="str">
        <x:v>Memorial</x:v>
      </x:c>
      <x:c r="F286" s="14" t="str">
        <x:v>Saint Andrew Dũng-Lạc and Companions [Memorial]</x:v>
      </x:c>
      <x:c r="G286" s="14" t="str">
        <x:v>✦ 🕯</x:v>
      </x:c>
      <x:c r="H286" s="14" t="str"/>
      <x:c r="I286" s="14" t="str"/>
      <x:c r="J286" s="14" t="str"/>
      <x:c r="K286" s="84" t="str">
        <x:v>🕯 St. Martin's Lent / historical Advent fast</x:v>
      </x:c>
      <x:c r="L286" s="14" t="str"/>
      <x:c r="M286" s="14" t="str"/>
      <x:c r="N286" s="14" t="str">
        <x:v>https://www.usccb.org/resources/2026cal.pdf
https://www.newadvent.org/cathen/06394b.htm</x:v>
      </x:c>
      <x:c r="O286" s="115" t="e">
        <x:f>HYPERLINK("https://bible.usccb.org/bible/readings/112426.cfm","USCCB readings ↗")</x:f>
        <x:v>HYPERLINK is not implemented. linkLocation=https://bible.usccb.org/bible/readings/112426.cfm, friendlyName=USCCB readings ↗</x:v>
      </x:c>
    </x:row>
    <x:row r="287">
      <x:c r="A287" s="38" t="n">
        <x:v>46351</x:v>
      </x:c>
      <x:c r="B287" t="str">
        <x:v>Wednesday</x:v>
      </x:c>
      <x:c r="C287" s="20" t="str">
        <x:v>Ordinary Time</x:v>
      </x:c>
      <x:c r="D287" t="str">
        <x:v>Weekday in Ordinary Time</x:v>
      </x:c>
      <x:c r="E287" t="str">
        <x:v>Weekday</x:v>
      </x:c>
      <x:c r="F287" s="14" t="str">
        <x:v>Saint Catherine of Alexandria [Optional Memorial]</x:v>
      </x:c>
      <x:c r="G287" s="14" t="str">
        <x:v>✦ 🕯</x:v>
      </x:c>
      <x:c r="H287" s="14" t="str"/>
      <x:c r="I287" s="14" t="str"/>
      <x:c r="J287" s="14" t="str"/>
      <x:c r="K287" s="84" t="str">
        <x:v>🕯 St. Martin's Lent / historical Advent fast</x:v>
      </x:c>
      <x:c r="L287" s="14" t="str"/>
      <x:c r="M287" s="14" t="str"/>
      <x:c r="N287" s="14" t="str">
        <x:v>https://www.usccb.org/resources/2026cal.pdf
https://www.newadvent.org/cathen/06394b.htm</x:v>
      </x:c>
      <x:c r="O287" s="115" t="e">
        <x:f>HYPERLINK("https://bible.usccb.org/bible/readings/112526.cfm","USCCB readings ↗")</x:f>
        <x:v>HYPERLINK is not implemented. linkLocation=https://bible.usccb.org/bible/readings/112526.cfm, friendlyName=USCCB readings ↗</x:v>
      </x:c>
    </x:row>
    <x:row r="288">
      <x:c r="A288" s="38" t="n">
        <x:v>46352</x:v>
      </x:c>
      <x:c r="B288" t="str">
        <x:v>Thursday</x:v>
      </x:c>
      <x:c r="C288" s="20" t="str">
        <x:v>Ordinary Time</x:v>
      </x:c>
      <x:c r="D288" t="str">
        <x:v>Weekday in Ordinary Time</x:v>
      </x:c>
      <x:c r="E288" t="str">
        <x:v>Weekday</x:v>
      </x:c>
      <x:c r="F288" s="14" t="str"/>
      <x:c r="G288" s="14" t="str">
        <x:v>🕯</x:v>
      </x:c>
      <x:c r="H288" s="14" t="str"/>
      <x:c r="I288" s="14" t="str"/>
      <x:c r="J288" s="14" t="str"/>
      <x:c r="K288" s="84" t="str">
        <x:v>🕯 St. Martin's Lent / historical Advent fast</x:v>
      </x:c>
      <x:c r="L288" s="14" t="str"/>
      <x:c r="M288" s="14" t="str"/>
      <x:c r="N288" s="14" t="str">
        <x:v>https://www.usccb.org/resources/2026cal.pdf
https://www.newadvent.org/cathen/06394b.htm</x:v>
      </x:c>
      <x:c r="O288" s="115" t="e">
        <x:f>HYPERLINK("https://bible.usccb.org/bible/readings/112626.cfm","USCCB readings ↗")</x:f>
        <x:v>HYPERLINK is not implemented. linkLocation=https://bible.usccb.org/bible/readings/112626.cfm, friendlyName=USCCB readings ↗</x:v>
      </x:c>
    </x:row>
    <x:row r="289">
      <x:c r="A289" s="38" t="n">
        <x:v>46353</x:v>
      </x:c>
      <x:c r="B289" t="str">
        <x:v>Friday</x:v>
      </x:c>
      <x:c r="C289" s="20" t="str">
        <x:v>Ordinary Time</x:v>
      </x:c>
      <x:c r="D289" t="str">
        <x:v>Weekday in Ordinary Time</x:v>
      </x:c>
      <x:c r="E289" t="str">
        <x:v>Weekday</x:v>
      </x:c>
      <x:c r="F289" s="14" t="str"/>
      <x:c r="G289" s="14" t="str">
        <x:v>Ⓟ 🕯</x:v>
      </x:c>
      <x:c r="H289" s="14" t="str"/>
      <x:c r="I289" s="14" t="str"/>
      <x:c r="J289" s="82" t="str">
        <x:v>Friday penance — outside Lent, U.S. Catholics may choose an appropriate penitential practice</x:v>
      </x:c>
      <x:c r="K289" s="84" t="str">
        <x:v>🕯 St. Martin's Lent / historical Advent fast</x:v>
      </x:c>
      <x:c r="L289" s="14" t="str"/>
      <x:c r="M289" s="14" t="str"/>
      <x:c r="N289" s="14" t="str">
        <x:v>https://www.usccb.org/resources/2026cal.pdf
https://www.usccb.org/prayer-and-worship/liturgical-year-and-calendar/lent/catholic-information-on-lenten-fast-and-abstinence
https://www.newadvent.org/cathen/06394b.htm</x:v>
      </x:c>
      <x:c r="O289" s="115" t="e">
        <x:f>HYPERLINK("https://bible.usccb.org/bible/readings/112726.cfm","USCCB readings ↗")</x:f>
        <x:v>HYPERLINK is not implemented. linkLocation=https://bible.usccb.org/bible/readings/112726.cfm, friendlyName=USCCB readings ↗</x:v>
      </x:c>
    </x:row>
    <x:row r="290">
      <x:c r="A290" s="38" t="n">
        <x:v>46354</x:v>
      </x:c>
      <x:c r="B290" t="str">
        <x:v>Saturday</x:v>
      </x:c>
      <x:c r="C290" s="20" t="str">
        <x:v>Ordinary Time</x:v>
      </x:c>
      <x:c r="D290" t="str">
        <x:v>Weekday in Ordinary Time</x:v>
      </x:c>
      <x:c r="E290" t="str">
        <x:v>Weekday</x:v>
      </x:c>
      <x:c r="F290" s="14" t="str"/>
      <x:c r="G290" s="14" t="str">
        <x:v>🕯</x:v>
      </x:c>
      <x:c r="H290" s="14" t="str"/>
      <x:c r="I290" s="14" t="str"/>
      <x:c r="J290" s="14" t="str"/>
      <x:c r="K290" s="84" t="str">
        <x:v>🕯 St. Martin's Lent / historical Advent fast</x:v>
      </x:c>
      <x:c r="L290" s="14" t="str"/>
      <x:c r="M290" s="14" t="str"/>
      <x:c r="N290" s="14" t="str">
        <x:v>https://www.usccb.org/resources/2026cal.pdf
https://www.newadvent.org/cathen/06394b.htm</x:v>
      </x:c>
      <x:c r="O290" s="115" t="e">
        <x:f>HYPERLINK("https://bible.usccb.org/bible/readings/112826.cfm","USCCB readings ↗")</x:f>
        <x:v>HYPERLINK is not implemented. linkLocation=https://bible.usccb.org/bible/readings/112826.cfm, friendlyName=USCCB readings ↗</x:v>
      </x:c>
    </x:row>
    <x:row r="291">
      <x:c r="A291" s="38" t="n">
        <x:v>46355</x:v>
      </x:c>
      <x:c r="B291" t="str">
        <x:v>Sunday</x:v>
      </x:c>
      <x:c r="C291" s="22" t="str">
        <x:v>Advent</x:v>
      </x:c>
      <x:c r="D291" t="str">
        <x:v>First Sunday of Advent</x:v>
      </x:c>
      <x:c r="E291" t="str">
        <x:v>Sunday</x:v>
      </x:c>
      <x:c r="F291" s="76" t="str"/>
      <x:c r="G291" s="14" t="str">
        <x:v>⛪ 🙏 🌹 🕯</x:v>
      </x:c>
      <x:c r="H291" s="78" t="str">
        <x:v>⛪ Sunday Mass obligation</x:v>
      </x:c>
      <x:c r="I291" s="80" t="str">
        <x:v>🌹 Immaculate Conception Novena — Day 1/9 [START]</x:v>
      </x:c>
      <x:c r="J291" s="14" t="str"/>
      <x:c r="K291" s="84" t="str">
        <x:v>🕯 St. Martin's Lent / historical Advent fast</x:v>
      </x:c>
      <x:c r="L291" s="14" t="str"/>
      <x:c r="M291" s="14" t="str"/>
      <x:c r="N291" s="14" t="str">
        <x:v>https://www.usccb.org/resources/2026cal.pdf
https://www.usccb.org/beliefs-and-teachings/what-we-believe/canon-law/complementary-norms/canon-1246
https://www.usccb.org/resources/liturgical-calendar-dioceses-united-states-america
https://www.newadvent.org/cathen/06394b.htm</x:v>
      </x:c>
      <x:c r="O291" s="115" t="e">
        <x:f>HYPERLINK("https://bible.usccb.org/bible/readings/112926.cfm","USCCB readings ↗")</x:f>
        <x:v>HYPERLINK is not implemented. linkLocation=https://bible.usccb.org/bible/readings/112926.cfm, friendlyName=USCCB readings ↗</x:v>
      </x:c>
    </x:row>
    <x:row r="292">
      <x:c r="A292" s="38" t="n">
        <x:v>46356</x:v>
      </x:c>
      <x:c r="B292" t="str">
        <x:v>Monday</x:v>
      </x:c>
      <x:c r="C292" s="22" t="str">
        <x:v>Advent</x:v>
      </x:c>
      <x:c r="D292" t="str">
        <x:v>Saint Andrew, Apostle</x:v>
      </x:c>
      <x:c r="E292" t="str">
        <x:v>Feast</x:v>
      </x:c>
      <x:c r="F292" s="76" t="str">
        <x:v>Saint Andrew, Apostle [Feast]</x:v>
      </x:c>
      <x:c r="G292" s="14" t="str">
        <x:v>★ ✦ 🙏 🌹 🕯</x:v>
      </x:c>
      <x:c r="H292" s="14" t="str"/>
      <x:c r="I292" s="80" t="str">
        <x:v>🌹 Immaculate Conception Novena — Day 2/9</x:v>
      </x:c>
      <x:c r="J292" s="14" t="str"/>
      <x:c r="K292" s="84" t="str">
        <x:v>🕯 St. Martin's Lent / historical Advent fast</x:v>
      </x:c>
      <x:c r="L292" s="14" t="str"/>
      <x:c r="M292" s="14" t="str"/>
      <x:c r="N292" s="14" t="str">
        <x:v>https://www.usccb.org/resources/2026cal.pdf
https://www.usccb.org/resources/liturgical-calendar-dioceses-united-states-america
https://www.newadvent.org/cathen/06394b.htm</x:v>
      </x:c>
      <x:c r="O292" s="115" t="e">
        <x:f>HYPERLINK("https://bible.usccb.org/bible/readings/113026.cfm","USCCB readings ↗")</x:f>
        <x:v>HYPERLINK is not implemented. linkLocation=https://bible.usccb.org/bible/readings/113026.cfm, friendlyName=USCCB readings ↗</x:v>
      </x:c>
    </x:row>
    <x:row r="293">
      <x:c r="A293" s="38" t="n">
        <x:v>46357</x:v>
      </x:c>
      <x:c r="B293" t="str">
        <x:v>Tuesday</x:v>
      </x:c>
      <x:c r="C293" s="22" t="str">
        <x:v>Advent</x:v>
      </x:c>
      <x:c r="D293" t="str">
        <x:v>Advent Weekday</x:v>
      </x:c>
      <x:c r="E293" t="str">
        <x:v>Weekday</x:v>
      </x:c>
      <x:c r="F293" s="76" t="str"/>
      <x:c r="G293" s="14" t="str">
        <x:v>🙏 🌹 🕯</x:v>
      </x:c>
      <x:c r="H293" s="14" t="str"/>
      <x:c r="I293" s="80" t="str">
        <x:v>🌹 Immaculate Conception Novena — Day 3/9</x:v>
      </x:c>
      <x:c r="J293" s="14" t="str"/>
      <x:c r="K293" s="84" t="str">
        <x:v>🕯 St. Martin's Lent / historical Advent fast</x:v>
      </x:c>
      <x:c r="L293" s="14" t="str"/>
      <x:c r="M293" s="14" t="str"/>
      <x:c r="N293" s="14" t="str">
        <x:v>https://www.usccb.org/resources/2026cal.pdf
https://www.usccb.org/resources/liturgical-calendar-dioceses-united-states-america
https://www.newadvent.org/cathen/06394b.htm</x:v>
      </x:c>
      <x:c r="O293" s="115" t="e">
        <x:f>HYPERLINK("https://bible.usccb.org/bible/readings/120126.cfm","USCCB readings ↗")</x:f>
        <x:v>HYPERLINK is not implemented. linkLocation=https://bible.usccb.org/bible/readings/120126.cfm, friendlyName=USCCB readings ↗</x:v>
      </x:c>
    </x:row>
    <x:row r="294">
      <x:c r="A294" s="38" t="n">
        <x:v>46358</x:v>
      </x:c>
      <x:c r="B294" t="str">
        <x:v>Wednesday</x:v>
      </x:c>
      <x:c r="C294" s="22" t="str">
        <x:v>Advent</x:v>
      </x:c>
      <x:c r="D294" t="str">
        <x:v>Advent Weekday</x:v>
      </x:c>
      <x:c r="E294" t="str">
        <x:v>Weekday</x:v>
      </x:c>
      <x:c r="F294" s="76" t="str"/>
      <x:c r="G294" s="14" t="str">
        <x:v>🙏 🌹 🕯</x:v>
      </x:c>
      <x:c r="H294" s="14" t="str"/>
      <x:c r="I294" s="80" t="str">
        <x:v>🌹 Immaculate Conception Novena — Day 4/9</x:v>
      </x:c>
      <x:c r="J294" s="14" t="str"/>
      <x:c r="K294" s="84" t="str">
        <x:v>🕯 St. Martin's Lent / historical Advent fast</x:v>
      </x:c>
      <x:c r="L294" s="14" t="str"/>
      <x:c r="M294" s="14" t="str"/>
      <x:c r="N294" s="14" t="str">
        <x:v>https://www.usccb.org/resources/2026cal.pdf
https://www.usccb.org/resources/liturgical-calendar-dioceses-united-states-america
https://www.newadvent.org/cathen/06394b.htm</x:v>
      </x:c>
      <x:c r="O294" s="115" t="e">
        <x:f>HYPERLINK("https://bible.usccb.org/bible/readings/120226.cfm","USCCB readings ↗")</x:f>
        <x:v>HYPERLINK is not implemented. linkLocation=https://bible.usccb.org/bible/readings/120226.cfm, friendlyName=USCCB readings ↗</x:v>
      </x:c>
    </x:row>
    <x:row r="295">
      <x:c r="A295" s="38" t="n">
        <x:v>46359</x:v>
      </x:c>
      <x:c r="B295" t="str">
        <x:v>Thursday</x:v>
      </x:c>
      <x:c r="C295" s="22" t="str">
        <x:v>Advent</x:v>
      </x:c>
      <x:c r="D295" t="str">
        <x:v>Saint Francis Xavier</x:v>
      </x:c>
      <x:c r="E295" t="str">
        <x:v>Memorial</x:v>
      </x:c>
      <x:c r="F295" s="76" t="str">
        <x:v>Saint Francis Xavier [Memorial]</x:v>
      </x:c>
      <x:c r="G295" s="14" t="str">
        <x:v>✦ 🙏 🌹 🕯</x:v>
      </x:c>
      <x:c r="H295" s="14" t="str"/>
      <x:c r="I295" s="80" t="str">
        <x:v>🌹 Immaculate Conception Novena — Day 5/9</x:v>
      </x:c>
      <x:c r="J295" s="14" t="str"/>
      <x:c r="K295" s="84" t="str">
        <x:v>🕯 St. Martin's Lent / historical Advent fast</x:v>
      </x:c>
      <x:c r="L295" s="14" t="str"/>
      <x:c r="M295" s="14" t="str"/>
      <x:c r="N295" s="14" t="str">
        <x:v>https://www.usccb.org/resources/2026cal.pdf
https://www.usccb.org/resources/liturgical-calendar-dioceses-united-states-america
https://www.newadvent.org/cathen/06394b.htm</x:v>
      </x:c>
      <x:c r="O295" s="115" t="e">
        <x:f>HYPERLINK("https://bible.usccb.org/bible/readings/120326.cfm","USCCB readings ↗")</x:f>
        <x:v>HYPERLINK is not implemented. linkLocation=https://bible.usccb.org/bible/readings/120326.cfm, friendlyName=USCCB readings ↗</x:v>
      </x:c>
    </x:row>
    <x:row r="296">
      <x:c r="A296" s="38" t="n">
        <x:v>46360</x:v>
      </x:c>
      <x:c r="B296" t="str">
        <x:v>Friday</x:v>
      </x:c>
      <x:c r="C296" s="22" t="str">
        <x:v>Advent</x:v>
      </x:c>
      <x:c r="D296" t="str">
        <x:v>Advent Weekday</x:v>
      </x:c>
      <x:c r="E296" t="str">
        <x:v>Weekday</x:v>
      </x:c>
      <x:c r="F296" s="76" t="str">
        <x:v>Saint John Damascene [Optional Memorial]</x:v>
      </x:c>
      <x:c r="G296" s="14" t="str">
        <x:v>✦ 🙏 🌹 Ⓟ 🕯</x:v>
      </x:c>
      <x:c r="H296" s="14" t="str"/>
      <x:c r="I296" s="80" t="str">
        <x:v>🌹 Immaculate Conception Novena — Day 6/9
❤ First Friday — Sacred Heart devotion</x:v>
      </x:c>
      <x:c r="J296" s="82" t="str">
        <x:v>Friday penance — outside Lent, U.S. Catholics may choose an appropriate penitential practice</x:v>
      </x:c>
      <x:c r="K296" s="84" t="str">
        <x:v>🕯 St. Martin's Lent / historical Advent fast</x:v>
      </x:c>
      <x:c r="L296" s="14" t="str">
        <x:v>Popular tradition: Saint Barbara</x:v>
      </x:c>
      <x:c r="M296" s="14" t="str"/>
      <x:c r="N296" s="14" t="str">
        <x:v>https://www.usccb.org/resources/2026cal.pdf
https://www.usccb.org/resources/liturgical-calendar-dioceses-united-states-america
https://www.ewtn.com/catholicism/library/first-friday-devotion-to-sacred-heart-4692
https://www.usccb.org/prayer-and-worship/liturgical-year-and-calendar/lent/catholic-information-on-lenten-fast-and-abstinence
https://www.newadvent.org/cathen/06394b.htm</x:v>
      </x:c>
      <x:c r="O296" s="115" t="e">
        <x:f>HYPERLINK("https://bible.usccb.org/bible/readings/120426.cfm","USCCB readings ↗")</x:f>
        <x:v>HYPERLINK is not implemented. linkLocation=https://bible.usccb.org/bible/readings/120426.cfm, friendlyName=USCCB readings ↗</x:v>
      </x:c>
    </x:row>
    <x:row r="297">
      <x:c r="A297" s="38" t="n">
        <x:v>46361</x:v>
      </x:c>
      <x:c r="B297" t="str">
        <x:v>Saturday</x:v>
      </x:c>
      <x:c r="C297" s="22" t="str">
        <x:v>Advent</x:v>
      </x:c>
      <x:c r="D297" t="str">
        <x:v>Advent Weekday</x:v>
      </x:c>
      <x:c r="E297" t="str">
        <x:v>Weekday</x:v>
      </x:c>
      <x:c r="F297" s="76" t="str"/>
      <x:c r="G297" s="14" t="str">
        <x:v>🙏 🌹 🕯</x:v>
      </x:c>
      <x:c r="H297" s="14" t="str"/>
      <x:c r="I297" s="80" t="str">
        <x:v>🌹 Immaculate Conception Novena — Day 7/9
🌹 First Saturday — Immaculate Heart devotion</x:v>
      </x:c>
      <x:c r="J297" s="14" t="str"/>
      <x:c r="K297" s="84" t="str">
        <x:v>🕯 St. Martin's Lent / historical Advent fast</x:v>
      </x:c>
      <x:c r="L297" s="14" t="str"/>
      <x:c r="M297" s="14" t="str"/>
      <x:c r="N297" s="14" t="str">
        <x:v>https://www.usccb.org/resources/2026cal.pdf
https://www.usccb.org/resources/liturgical-calendar-dioceses-united-states-america
https://www.ewtn.com/catholicism/library/revelation-of-the-immaculate-heart-at-fatima-in-1917-5465
https://www.newadvent.org/cathen/06394b.htm</x:v>
      </x:c>
      <x:c r="O297" s="115" t="e">
        <x:f>HYPERLINK("https://bible.usccb.org/bible/readings/120526.cfm","USCCB readings ↗")</x:f>
        <x:v>HYPERLINK is not implemented. linkLocation=https://bible.usccb.org/bible/readings/120526.cfm, friendlyName=USCCB readings ↗</x:v>
      </x:c>
    </x:row>
    <x:row r="298">
      <x:c r="A298" s="38" t="n">
        <x:v>46362</x:v>
      </x:c>
      <x:c r="B298" t="str">
        <x:v>Sunday</x:v>
      </x:c>
      <x:c r="C298" s="22" t="str">
        <x:v>Advent</x:v>
      </x:c>
      <x:c r="D298" t="str">
        <x:v>Second Sunday of Advent</x:v>
      </x:c>
      <x:c r="E298" t="str">
        <x:v>Sunday</x:v>
      </x:c>
      <x:c r="F298" s="76" t="str">
        <x:v>Saint Nicholas [Optional Memorial]</x:v>
      </x:c>
      <x:c r="G298" s="14" t="str">
        <x:v>✦ ⛪ 🙏 🌹 🕯</x:v>
      </x:c>
      <x:c r="H298" s="78" t="str">
        <x:v>⛪ Sunday Mass obligation</x:v>
      </x:c>
      <x:c r="I298" s="80" t="str">
        <x:v>🌹 Immaculate Conception Novena — Day 8/9</x:v>
      </x:c>
      <x:c r="J298" s="14" t="str"/>
      <x:c r="K298" s="84" t="str">
        <x:v>🕯 St. Martin's Lent / historical Advent fast</x:v>
      </x:c>
      <x:c r="L298" s="14" t="str"/>
      <x:c r="M298" s="14" t="str">
        <x:v>A fixed observance also falls today, but the Sunday or higher-ranking celebration takes liturgical precedence.</x:v>
      </x:c>
      <x:c r="N298" s="14" t="str">
        <x:v>https://www.usccb.org/resources/2026cal.pdf
https://www.usccb.org/beliefs-and-teachings/what-we-believe/canon-law/complementary-norms/canon-1246
https://www.usccb.org/resources/liturgical-calendar-dioceses-united-states-america
https://www.newadvent.org/cathen/06394b.htm</x:v>
      </x:c>
      <x:c r="O298" s="115" t="e">
        <x:f>HYPERLINK("https://bible.usccb.org/bible/readings/120626.cfm","USCCB readings ↗")</x:f>
        <x:v>HYPERLINK is not implemented. linkLocation=https://bible.usccb.org/bible/readings/120626.cfm, friendlyName=USCCB readings ↗</x:v>
      </x:c>
    </x:row>
    <x:row r="299">
      <x:c r="A299" s="38" t="n">
        <x:v>46363</x:v>
      </x:c>
      <x:c r="B299" t="str">
        <x:v>Monday</x:v>
      </x:c>
      <x:c r="C299" s="22" t="str">
        <x:v>Advent</x:v>
      </x:c>
      <x:c r="D299" t="str">
        <x:v>Saint Ambrose</x:v>
      </x:c>
      <x:c r="E299" t="str">
        <x:v>Memorial</x:v>
      </x:c>
      <x:c r="F299" s="76" t="str">
        <x:v>Saint Ambrose [Memorial]</x:v>
      </x:c>
      <x:c r="G299" s="14" t="str">
        <x:v>✦ 🙏 🌹 🕯</x:v>
      </x:c>
      <x:c r="H299" s="14" t="str"/>
      <x:c r="I299" s="80" t="str">
        <x:v>🌹 Immaculate Conception Novena — Day 9/9 [END]</x:v>
      </x:c>
      <x:c r="J299" s="14" t="str"/>
      <x:c r="K299" s="84" t="str">
        <x:v>🕯 St. Martin's Lent / historical Advent fast</x:v>
      </x:c>
      <x:c r="L299" s="14" t="str"/>
      <x:c r="M299" s="14" t="str"/>
      <x:c r="N299" s="14" t="str">
        <x:v>https://www.usccb.org/resources/2026cal.pdf
https://www.usccb.org/resources/liturgical-calendar-dioceses-united-states-america
https://www.newadvent.org/cathen/06394b.htm</x:v>
      </x:c>
      <x:c r="O299" s="115" t="e">
        <x:f>HYPERLINK("https://bible.usccb.org/bible/readings/120726.cfm","USCCB readings ↗")</x:f>
        <x:v>HYPERLINK is not implemented. linkLocation=https://bible.usccb.org/bible/readings/120726.cfm, friendlyName=USCCB readings ↗</x:v>
      </x:c>
    </x:row>
    <x:row r="300">
      <x:c r="A300" s="38" t="n">
        <x:v>46364</x:v>
      </x:c>
      <x:c r="B300" t="str">
        <x:v>Tuesday</x:v>
      </x:c>
      <x:c r="C300" s="22" t="str">
        <x:v>Advent</x:v>
      </x:c>
      <x:c r="D300" t="str">
        <x:v>Immaculate Conception of the Blessed Virgin Mary</x:v>
      </x:c>
      <x:c r="E300" t="str">
        <x:v>Solemnity</x:v>
      </x:c>
      <x:c r="F300" s="76" t="str">
        <x:v>Immaculate Conception of the Blessed Virgin Mary [Solemnity]</x:v>
      </x:c>
      <x:c r="G300" s="14" t="str">
        <x:v>★ 🌹 ⛪ 🕯</x:v>
      </x:c>
      <x:c r="H300" s="78" t="str">
        <x:v>⛪ Holy Day of Obligation — Immaculate Conception</x:v>
      </x:c>
      <x:c r="I300" s="14" t="str"/>
      <x:c r="J300" s="14" t="str"/>
      <x:c r="K300" s="84" t="str">
        <x:v>🕯 St. Martin's Lent / historical Advent fast</x:v>
      </x:c>
      <x:c r="L300" s="14" t="str"/>
      <x:c r="M300" s="14" t="str"/>
      <x:c r="N300" s="14" t="str">
        <x:v>https://www.usccb.org/resources/2026cal.pdf
https://www.usccb.org/beliefs-and-teachings/what-we-believe/canon-law/complementary-norms/canon-1246
https://www.newadvent.org/cathen/06394b.htm</x:v>
      </x:c>
      <x:c r="O300" s="115" t="e">
        <x:f>HYPERLINK("https://bible.usccb.org/bible/readings/120826.cfm","USCCB readings ↗")</x:f>
        <x:v>HYPERLINK is not implemented. linkLocation=https://bible.usccb.org/bible/readings/120826.cfm, friendlyName=USCCB readings ↗</x:v>
      </x:c>
    </x:row>
    <x:row r="301">
      <x:c r="A301" s="38" t="n">
        <x:v>46365</x:v>
      </x:c>
      <x:c r="B301" t="str">
        <x:v>Wednesday</x:v>
      </x:c>
      <x:c r="C301" s="22" t="str">
        <x:v>Advent</x:v>
      </x:c>
      <x:c r="D301" t="str">
        <x:v>Advent Weekday</x:v>
      </x:c>
      <x:c r="E301" t="str">
        <x:v>Weekday</x:v>
      </x:c>
      <x:c r="F301" s="14" t="str">
        <x:v>Saint Juan Diego [Optional Memorial]</x:v>
      </x:c>
      <x:c r="G301" s="14" t="str">
        <x:v>✦ 🕯</x:v>
      </x:c>
      <x:c r="H301" s="14" t="str"/>
      <x:c r="I301" s="14" t="str"/>
      <x:c r="J301" s="14" t="str"/>
      <x:c r="K301" s="84" t="str">
        <x:v>🕯 St. Martin's Lent / historical Advent fast</x:v>
      </x:c>
      <x:c r="L301" s="14" t="str"/>
      <x:c r="M301" s="14" t="str"/>
      <x:c r="N301" s="14" t="str">
        <x:v>https://www.usccb.org/resources/2026cal.pdf
https://www.newadvent.org/cathen/06394b.htm</x:v>
      </x:c>
      <x:c r="O301" s="115" t="e">
        <x:f>HYPERLINK("https://bible.usccb.org/bible/readings/120926.cfm","USCCB readings ↗")</x:f>
        <x:v>HYPERLINK is not implemented. linkLocation=https://bible.usccb.org/bible/readings/120926.cfm, friendlyName=USCCB readings ↗</x:v>
      </x:c>
    </x:row>
    <x:row r="302">
      <x:c r="A302" s="38" t="n">
        <x:v>46366</x:v>
      </x:c>
      <x:c r="B302" t="str">
        <x:v>Thursday</x:v>
      </x:c>
      <x:c r="C302" s="22" t="str">
        <x:v>Advent</x:v>
      </x:c>
      <x:c r="D302" t="str">
        <x:v>Advent Weekday</x:v>
      </x:c>
      <x:c r="E302" t="str">
        <x:v>Weekday</x:v>
      </x:c>
      <x:c r="F302" s="76" t="str">
        <x:v>Our Lady of Loreto [Optional Memorial]</x:v>
      </x:c>
      <x:c r="G302" s="14" t="str">
        <x:v>🌹 🕯</x:v>
      </x:c>
      <x:c r="H302" s="14" t="str"/>
      <x:c r="I302" s="14" t="str"/>
      <x:c r="J302" s="14" t="str"/>
      <x:c r="K302" s="84" t="str">
        <x:v>🕯 St. Martin's Lent / historical Advent fast</x:v>
      </x:c>
      <x:c r="L302" s="14" t="str"/>
      <x:c r="M302" s="14" t="str"/>
      <x:c r="N302" s="14" t="str">
        <x:v>https://www.usccb.org/resources/2026cal.pdf
https://www.newadvent.org/cathen/06394b.htm</x:v>
      </x:c>
      <x:c r="O302" s="115" t="e">
        <x:f>HYPERLINK("https://bible.usccb.org/bible/readings/121026.cfm","USCCB readings ↗")</x:f>
        <x:v>HYPERLINK is not implemented. linkLocation=https://bible.usccb.org/bible/readings/121026.cfm, friendlyName=USCCB readings ↗</x:v>
      </x:c>
    </x:row>
    <x:row r="303">
      <x:c r="A303" s="38" t="n">
        <x:v>46367</x:v>
      </x:c>
      <x:c r="B303" t="str">
        <x:v>Friday</x:v>
      </x:c>
      <x:c r="C303" s="22" t="str">
        <x:v>Advent</x:v>
      </x:c>
      <x:c r="D303" t="str">
        <x:v>Advent Weekday</x:v>
      </x:c>
      <x:c r="E303" t="str">
        <x:v>Weekday</x:v>
      </x:c>
      <x:c r="F303" s="14" t="str">
        <x:v>Saint Damasus I [Optional Memorial]</x:v>
      </x:c>
      <x:c r="G303" s="14" t="str">
        <x:v>✦ Ⓟ 🕯</x:v>
      </x:c>
      <x:c r="H303" s="14" t="str"/>
      <x:c r="I303" s="14" t="str"/>
      <x:c r="J303" s="82" t="str">
        <x:v>Friday penance — outside Lent, U.S. Catholics may choose an appropriate penitential practice</x:v>
      </x:c>
      <x:c r="K303" s="84" t="str">
        <x:v>🕯 St. Martin's Lent / historical Advent fast</x:v>
      </x:c>
      <x:c r="L303" s="14" t="str"/>
      <x:c r="M303" s="14" t="str"/>
      <x:c r="N303" s="14" t="str">
        <x:v>https://www.usccb.org/resources/2026cal.pdf
https://www.usccb.org/prayer-and-worship/liturgical-year-and-calendar/lent/catholic-information-on-lenten-fast-and-abstinence
https://www.newadvent.org/cathen/06394b.htm</x:v>
      </x:c>
      <x:c r="O303" s="115" t="e">
        <x:f>HYPERLINK("https://bible.usccb.org/bible/readings/121126.cfm","USCCB readings ↗")</x:f>
        <x:v>HYPERLINK is not implemented. linkLocation=https://bible.usccb.org/bible/readings/121126.cfm, friendlyName=USCCB readings ↗</x:v>
      </x:c>
    </x:row>
    <x:row r="304">
      <x:c r="A304" s="38" t="n">
        <x:v>46368</x:v>
      </x:c>
      <x:c r="B304" t="str">
        <x:v>Saturday</x:v>
      </x:c>
      <x:c r="C304" s="22" t="str">
        <x:v>Advent</x:v>
      </x:c>
      <x:c r="D304" t="str">
        <x:v>Our Lady of Guadalupe</x:v>
      </x:c>
      <x:c r="E304" t="str">
        <x:v>Feast</x:v>
      </x:c>
      <x:c r="F304" s="76" t="str">
        <x:v>Our Lady of Guadalupe [Feast]</x:v>
      </x:c>
      <x:c r="G304" s="14" t="str">
        <x:v>★ 🌹 🕯</x:v>
      </x:c>
      <x:c r="H304" s="14" t="str"/>
      <x:c r="I304" s="14" t="str"/>
      <x:c r="J304" s="14" t="str"/>
      <x:c r="K304" s="84" t="str">
        <x:v>🕯 St. Martin's Lent / historical Advent fast</x:v>
      </x:c>
      <x:c r="L304" s="14" t="str"/>
      <x:c r="M304" s="14" t="str"/>
      <x:c r="N304" s="14" t="str">
        <x:v>https://www.usccb.org/resources/2026cal.pdf
https://www.newadvent.org/cathen/06394b.htm</x:v>
      </x:c>
      <x:c r="O304" s="115" t="e">
        <x:f>HYPERLINK("https://bible.usccb.org/bible/readings/121226.cfm","USCCB readings ↗")</x:f>
        <x:v>HYPERLINK is not implemented. linkLocation=https://bible.usccb.org/bible/readings/121226.cfm, friendlyName=USCCB readings ↗</x:v>
      </x:c>
    </x:row>
    <x:row r="305">
      <x:c r="A305" s="38" t="n">
        <x:v>46369</x:v>
      </x:c>
      <x:c r="B305" t="str">
        <x:v>Sunday</x:v>
      </x:c>
      <x:c r="C305" s="22" t="str">
        <x:v>Advent</x:v>
      </x:c>
      <x:c r="D305" t="str">
        <x:v>Third Sunday of Advent — Gaudete</x:v>
      </x:c>
      <x:c r="E305" t="str">
        <x:v>Sunday</x:v>
      </x:c>
      <x:c r="F305" s="14" t="str">
        <x:v>Saint Lucy [Memorial]</x:v>
      </x:c>
      <x:c r="G305" s="14" t="str">
        <x:v>✦ ⛪ 🕯</x:v>
      </x:c>
      <x:c r="H305" s="78" t="str">
        <x:v>⛪ Sunday Mass obligation</x:v>
      </x:c>
      <x:c r="I305" s="14" t="str"/>
      <x:c r="J305" s="14" t="str"/>
      <x:c r="K305" s="84" t="str">
        <x:v>🕯 St. Martin's Lent / historical Advent fast</x:v>
      </x:c>
      <x:c r="L305" s="14" t="str"/>
      <x:c r="M305" s="14" t="str">
        <x:v>A fixed observance also falls today, but the Sunday or higher-ranking celebration takes liturgical precedence.</x:v>
      </x:c>
      <x:c r="N305" s="14" t="str">
        <x:v>https://www.usccb.org/resources/2026cal.pdf
https://www.usccb.org/beliefs-and-teachings/what-we-believe/canon-law/complementary-norms/canon-1246
https://www.newadvent.org/cathen/06394b.htm</x:v>
      </x:c>
      <x:c r="O305" s="115" t="e">
        <x:f>HYPERLINK("https://bible.usccb.org/bible/readings/121326.cfm","USCCB readings ↗")</x:f>
        <x:v>HYPERLINK is not implemented. linkLocation=https://bible.usccb.org/bible/readings/121326.cfm, friendlyName=USCCB readings ↗</x:v>
      </x:c>
    </x:row>
    <x:row r="306">
      <x:c r="A306" s="38" t="n">
        <x:v>46370</x:v>
      </x:c>
      <x:c r="B306" t="str">
        <x:v>Monday</x:v>
      </x:c>
      <x:c r="C306" s="22" t="str">
        <x:v>Advent</x:v>
      </x:c>
      <x:c r="D306" t="str">
        <x:v>Saint John of the Cross</x:v>
      </x:c>
      <x:c r="E306" t="str">
        <x:v>Memorial</x:v>
      </x:c>
      <x:c r="F306" s="14" t="str">
        <x:v>Saint John of the Cross [Memorial]</x:v>
      </x:c>
      <x:c r="G306" s="14" t="str">
        <x:v>✦ 🕯</x:v>
      </x:c>
      <x:c r="H306" s="14" t="str"/>
      <x:c r="I306" s="14" t="str"/>
      <x:c r="J306" s="14" t="str"/>
      <x:c r="K306" s="84" t="str">
        <x:v>🕯 St. Martin's Lent / historical Advent fast</x:v>
      </x:c>
      <x:c r="L306" s="14" t="str"/>
      <x:c r="M306" s="14" t="str"/>
      <x:c r="N306" s="14" t="str">
        <x:v>https://www.usccb.org/resources/2026cal.pdf
https://www.newadvent.org/cathen/06394b.htm</x:v>
      </x:c>
      <x:c r="O306" s="115" t="e">
        <x:f>HYPERLINK("https://bible.usccb.org/bible/readings/121426.cfm","USCCB readings ↗")</x:f>
        <x:v>HYPERLINK is not implemented. linkLocation=https://bible.usccb.org/bible/readings/121426.cfm, friendlyName=USCCB readings ↗</x:v>
      </x:c>
    </x:row>
    <x:row r="307">
      <x:c r="A307" s="38" t="n">
        <x:v>46371</x:v>
      </x:c>
      <x:c r="B307" t="str">
        <x:v>Tuesday</x:v>
      </x:c>
      <x:c r="C307" s="22" t="str">
        <x:v>Advent</x:v>
      </x:c>
      <x:c r="D307" t="str">
        <x:v>Advent Weekday</x:v>
      </x:c>
      <x:c r="E307" t="str">
        <x:v>Weekday</x:v>
      </x:c>
      <x:c r="F307" s="14" t="str"/>
      <x:c r="G307" s="14" t="str">
        <x:v>🕯</x:v>
      </x:c>
      <x:c r="H307" s="14" t="str"/>
      <x:c r="I307" s="14" t="str"/>
      <x:c r="J307" s="14" t="str"/>
      <x:c r="K307" s="84" t="str">
        <x:v>🕯 St. Martin's Lent / historical Advent fast</x:v>
      </x:c>
      <x:c r="L307" s="14" t="str"/>
      <x:c r="M307" s="14" t="str"/>
      <x:c r="N307" s="14" t="str">
        <x:v>https://www.usccb.org/resources/2026cal.pdf
https://www.newadvent.org/cathen/06394b.htm</x:v>
      </x:c>
      <x:c r="O307" s="115" t="e">
        <x:f>HYPERLINK("https://bible.usccb.org/bible/readings/121526.cfm","USCCB readings ↗")</x:f>
        <x:v>HYPERLINK is not implemented. linkLocation=https://bible.usccb.org/bible/readings/121526.cfm, friendlyName=USCCB readings ↗</x:v>
      </x:c>
    </x:row>
    <x:row r="308">
      <x:c r="A308" s="38" t="n">
        <x:v>46372</x:v>
      </x:c>
      <x:c r="B308" t="str">
        <x:v>Wednesday</x:v>
      </x:c>
      <x:c r="C308" s="22" t="str">
        <x:v>Advent</x:v>
      </x:c>
      <x:c r="D308" t="str">
        <x:v>Advent Weekday</x:v>
      </x:c>
      <x:c r="E308" t="str">
        <x:v>Weekday</x:v>
      </x:c>
      <x:c r="F308" s="14" t="str"/>
      <x:c r="G308" s="14" t="str">
        <x:v>🙏 🕯</x:v>
      </x:c>
      <x:c r="H308" s="14" t="str"/>
      <x:c r="I308" s="80" t="str">
        <x:v>🙏 Christmas Novena / Simbang Gabi window — Day 1/9 [START]</x:v>
      </x:c>
      <x:c r="J308" s="14" t="str"/>
      <x:c r="K308" s="84" t="str">
        <x:v>🕯 Traditional Ember Day
🕯 St. Martin's Lent / historical Advent fast</x:v>
      </x:c>
      <x:c r="L308" s="14" t="str"/>
      <x:c r="M308" s="14" t="str"/>
      <x:c r="N308" s="14" t="str">
        <x:v>https://www.usccb.org/resources/2026cal.pdf
https://www.usccb.org/resources/Dio-of-San-Diego-Simbang-Gabi-Dec-2018.pdf
https://www.newadvent.org/cathen/05399b.htm
https://www.newadvent.org/cathen/06394b.htm</x:v>
      </x:c>
      <x:c r="O308" s="115" t="e">
        <x:f>HYPERLINK("https://bible.usccb.org/bible/readings/121626.cfm","USCCB readings ↗")</x:f>
        <x:v>HYPERLINK is not implemented. linkLocation=https://bible.usccb.org/bible/readings/121626.cfm, friendlyName=USCCB readings ↗</x:v>
      </x:c>
    </x:row>
    <x:row r="309">
      <x:c r="A309" s="38" t="n">
        <x:v>46373</x:v>
      </x:c>
      <x:c r="B309" t="str">
        <x:v>Thursday</x:v>
      </x:c>
      <x:c r="C309" s="22" t="str">
        <x:v>Advent</x:v>
      </x:c>
      <x:c r="D309" t="str">
        <x:v>Advent Weekday</x:v>
      </x:c>
      <x:c r="E309" t="str">
        <x:v>Weekday</x:v>
      </x:c>
      <x:c r="F309" s="14" t="str"/>
      <x:c r="G309" s="14" t="str">
        <x:v>🙏 🕯</x:v>
      </x:c>
      <x:c r="H309" s="14" t="str"/>
      <x:c r="I309" s="80" t="str">
        <x:v>🙏 Christmas Novena / Simbang Gabi window — Day 2/9
🙏 O Antiphons — Day 1/7 [START]</x:v>
      </x:c>
      <x:c r="J309" s="14" t="str"/>
      <x:c r="K309" s="84" t="str">
        <x:v>🕯 St. Martin's Lent / historical Advent fast</x:v>
      </x:c>
      <x:c r="L309" s="14" t="str"/>
      <x:c r="M309" s="14" t="str"/>
      <x:c r="N309" s="14" t="str">
        <x:v>https://www.usccb.org/resources/2026cal.pdf
https://www.usccb.org/resources/Dio-of-San-Diego-Simbang-Gabi-Dec-2018.pdf
https://www.usccb.org/prayers/o-antiphons-advent
https://www.newadvent.org/cathen/06394b.htm</x:v>
      </x:c>
      <x:c r="O309" s="115" t="e">
        <x:f>HYPERLINK("https://bible.usccb.org/bible/readings/121726.cfm","USCCB readings ↗")</x:f>
        <x:v>HYPERLINK is not implemented. linkLocation=https://bible.usccb.org/bible/readings/121726.cfm, friendlyName=USCCB readings ↗</x:v>
      </x:c>
    </x:row>
    <x:row r="310">
      <x:c r="A310" s="38" t="n">
        <x:v>46374</x:v>
      </x:c>
      <x:c r="B310" t="str">
        <x:v>Friday</x:v>
      </x:c>
      <x:c r="C310" s="22" t="str">
        <x:v>Advent</x:v>
      </x:c>
      <x:c r="D310" t="str">
        <x:v>Advent Weekday</x:v>
      </x:c>
      <x:c r="E310" t="str">
        <x:v>Weekday</x:v>
      </x:c>
      <x:c r="F310" s="14" t="str"/>
      <x:c r="G310" s="14" t="str">
        <x:v>🙏 Ⓟ 🕯</x:v>
      </x:c>
      <x:c r="H310" s="14" t="str"/>
      <x:c r="I310" s="80" t="str">
        <x:v>🙏 Christmas Novena / Simbang Gabi window — Day 3/9
🙏 O Antiphons — Day 2/7</x:v>
      </x:c>
      <x:c r="J310" s="82" t="str">
        <x:v>Friday penance — outside Lent, U.S. Catholics may choose an appropriate penitential practice</x:v>
      </x:c>
      <x:c r="K310" s="84" t="str">
        <x:v>🕯 Traditional Ember Day
🕯 St. Martin's Lent / historical Advent fast</x:v>
      </x:c>
      <x:c r="L310" s="14" t="str"/>
      <x:c r="M310" s="14" t="str"/>
      <x:c r="N310" s="14" t="str">
        <x:v>https://www.usccb.org/resources/2026cal.pdf
https://www.usccb.org/resources/Dio-of-San-Diego-Simbang-Gabi-Dec-2018.pdf
https://www.usccb.org/prayers/o-antiphons-advent
https://www.usccb.org/prayer-and-worship/liturgical-year-and-calendar/lent/catholic-information-on-lenten-fast-and-abstinence
https://www.newadvent.org/cathen/05399b.htm
https://www.newadvent.org/cathen/06394b.htm</x:v>
      </x:c>
      <x:c r="O310" s="115" t="e">
        <x:f>HYPERLINK("https://bible.usccb.org/bible/readings/121826.cfm","USCCB readings ↗")</x:f>
        <x:v>HYPERLINK is not implemented. linkLocation=https://bible.usccb.org/bible/readings/121826.cfm, friendlyName=USCCB readings ↗</x:v>
      </x:c>
    </x:row>
    <x:row r="311">
      <x:c r="A311" s="38" t="n">
        <x:v>46375</x:v>
      </x:c>
      <x:c r="B311" t="str">
        <x:v>Saturday</x:v>
      </x:c>
      <x:c r="C311" s="22" t="str">
        <x:v>Advent</x:v>
      </x:c>
      <x:c r="D311" t="str">
        <x:v>Advent Weekday</x:v>
      </x:c>
      <x:c r="E311" t="str">
        <x:v>Weekday</x:v>
      </x:c>
      <x:c r="F311" s="14" t="str"/>
      <x:c r="G311" s="14" t="str">
        <x:v>🙏 🕯</x:v>
      </x:c>
      <x:c r="H311" s="14" t="str"/>
      <x:c r="I311" s="80" t="str">
        <x:v>🙏 Christmas Novena / Simbang Gabi window — Day 4/9
🙏 O Antiphons — Day 3/7</x:v>
      </x:c>
      <x:c r="J311" s="14" t="str"/>
      <x:c r="K311" s="84" t="str">
        <x:v>🕯 Traditional Ember Day
🕯 St. Martin's Lent / historical Advent fast</x:v>
      </x:c>
      <x:c r="L311" s="14" t="str"/>
      <x:c r="M311" s="14" t="str"/>
      <x:c r="N311" s="14" t="str">
        <x:v>https://www.usccb.org/resources/2026cal.pdf
https://www.usccb.org/resources/Dio-of-San-Diego-Simbang-Gabi-Dec-2018.pdf
https://www.usccb.org/prayers/o-antiphons-advent
https://www.newadvent.org/cathen/05399b.htm
https://www.newadvent.org/cathen/06394b.htm</x:v>
      </x:c>
      <x:c r="O311" s="115" t="e">
        <x:f>HYPERLINK("https://bible.usccb.org/bible/readings/121926.cfm","USCCB readings ↗")</x:f>
        <x:v>HYPERLINK is not implemented. linkLocation=https://bible.usccb.org/bible/readings/121926.cfm, friendlyName=USCCB readings ↗</x:v>
      </x:c>
    </x:row>
    <x:row r="312">
      <x:c r="A312" s="38" t="n">
        <x:v>46376</x:v>
      </x:c>
      <x:c r="B312" t="str">
        <x:v>Sunday</x:v>
      </x:c>
      <x:c r="C312" s="22" t="str">
        <x:v>Advent</x:v>
      </x:c>
      <x:c r="D312" t="str">
        <x:v>Fourth Sunday of Advent</x:v>
      </x:c>
      <x:c r="E312" t="str">
        <x:v>Sunday</x:v>
      </x:c>
      <x:c r="F312" s="14" t="str"/>
      <x:c r="G312" s="14" t="str">
        <x:v>⛪ 🙏 🕯</x:v>
      </x:c>
      <x:c r="H312" s="78" t="str">
        <x:v>⛪ Sunday Mass obligation</x:v>
      </x:c>
      <x:c r="I312" s="80" t="str">
        <x:v>🙏 Christmas Novena / Simbang Gabi window — Day 5/9
🙏 O Antiphons — Day 4/7</x:v>
      </x:c>
      <x:c r="J312" s="14" t="str"/>
      <x:c r="K312" s="84" t="str">
        <x:v>🕯 St. Martin's Lent / historical Advent fast</x:v>
      </x:c>
      <x:c r="L312" s="14" t="str"/>
      <x:c r="M312" s="14" t="str"/>
      <x:c r="N312" s="14" t="str">
        <x:v>https://www.usccb.org/resources/2026cal.pdf
https://www.usccb.org/beliefs-and-teachings/what-we-believe/canon-law/complementary-norms/canon-1246
https://www.usccb.org/resources/Dio-of-San-Diego-Simbang-Gabi-Dec-2018.pdf
https://www.usccb.org/prayers/o-antiphons-advent
https://www.newadvent.org/cathen/06394b.htm</x:v>
      </x:c>
      <x:c r="O312" s="115" t="e">
        <x:f>HYPERLINK("https://bible.usccb.org/bible/readings/122026.cfm","USCCB readings ↗")</x:f>
        <x:v>HYPERLINK is not implemented. linkLocation=https://bible.usccb.org/bible/readings/122026.cfm, friendlyName=USCCB readings ↗</x:v>
      </x:c>
    </x:row>
    <x:row r="313">
      <x:c r="A313" s="38" t="n">
        <x:v>46377</x:v>
      </x:c>
      <x:c r="B313" t="str">
        <x:v>Monday</x:v>
      </x:c>
      <x:c r="C313" s="22" t="str">
        <x:v>Advent</x:v>
      </x:c>
      <x:c r="D313" t="str">
        <x:v>Advent Weekday</x:v>
      </x:c>
      <x:c r="E313" t="str">
        <x:v>Weekday</x:v>
      </x:c>
      <x:c r="F313" s="14" t="str">
        <x:v>Saint Peter Canisius [Optional Memorial]</x:v>
      </x:c>
      <x:c r="G313" s="14" t="str">
        <x:v>✦ 🙏 🕯</x:v>
      </x:c>
      <x:c r="H313" s="14" t="str"/>
      <x:c r="I313" s="80" t="str">
        <x:v>🙏 Christmas Novena / Simbang Gabi window — Day 6/9
🙏 O Antiphons — Day 5/7</x:v>
      </x:c>
      <x:c r="J313" s="14" t="str"/>
      <x:c r="K313" s="84" t="str">
        <x:v>🕯 St. Martin's Lent / historical Advent fast</x:v>
      </x:c>
      <x:c r="L313" s="14" t="str"/>
      <x:c r="M313" s="14" t="str"/>
      <x:c r="N313" s="14" t="str">
        <x:v>https://www.usccb.org/resources/2026cal.pdf
https://www.usccb.org/resources/Dio-of-San-Diego-Simbang-Gabi-Dec-2018.pdf
https://www.usccb.org/prayers/o-antiphons-advent
https://www.newadvent.org/cathen/06394b.htm</x:v>
      </x:c>
      <x:c r="O313" s="115" t="e">
        <x:f>HYPERLINK("https://bible.usccb.org/bible/readings/122126.cfm","USCCB readings ↗")</x:f>
        <x:v>HYPERLINK is not implemented. linkLocation=https://bible.usccb.org/bible/readings/122126.cfm, friendlyName=USCCB readings ↗</x:v>
      </x:c>
    </x:row>
    <x:row r="314">
      <x:c r="A314" s="38" t="n">
        <x:v>46378</x:v>
      </x:c>
      <x:c r="B314" t="str">
        <x:v>Tuesday</x:v>
      </x:c>
      <x:c r="C314" s="22" t="str">
        <x:v>Advent</x:v>
      </x:c>
      <x:c r="D314" t="str">
        <x:v>Advent Weekday</x:v>
      </x:c>
      <x:c r="E314" t="str">
        <x:v>Weekday</x:v>
      </x:c>
      <x:c r="F314" s="14" t="str"/>
      <x:c r="G314" s="14" t="str">
        <x:v>🙏 🕯</x:v>
      </x:c>
      <x:c r="H314" s="14" t="str"/>
      <x:c r="I314" s="80" t="str">
        <x:v>🙏 Christmas Novena / Simbang Gabi window — Day 7/9
🙏 O Antiphons — Day 6/7</x:v>
      </x:c>
      <x:c r="J314" s="14" t="str"/>
      <x:c r="K314" s="84" t="str">
        <x:v>🕯 St. Martin's Lent / historical Advent fast</x:v>
      </x:c>
      <x:c r="L314" s="14" t="str"/>
      <x:c r="M314" s="14" t="str"/>
      <x:c r="N314" s="14" t="str">
        <x:v>https://www.usccb.org/resources/2026cal.pdf
https://www.usccb.org/resources/Dio-of-San-Diego-Simbang-Gabi-Dec-2018.pdf
https://www.usccb.org/prayers/o-antiphons-advent
https://www.newadvent.org/cathen/06394b.htm</x:v>
      </x:c>
      <x:c r="O314" s="115" t="e">
        <x:f>HYPERLINK("https://bible.usccb.org/bible/readings/122226.cfm","USCCB readings ↗")</x:f>
        <x:v>HYPERLINK is not implemented. linkLocation=https://bible.usccb.org/bible/readings/122226.cfm, friendlyName=USCCB readings ↗</x:v>
      </x:c>
    </x:row>
    <x:row r="315">
      <x:c r="A315" s="38" t="n">
        <x:v>46379</x:v>
      </x:c>
      <x:c r="B315" t="str">
        <x:v>Wednesday</x:v>
      </x:c>
      <x:c r="C315" s="22" t="str">
        <x:v>Advent</x:v>
      </x:c>
      <x:c r="D315" t="str">
        <x:v>Advent Weekday</x:v>
      </x:c>
      <x:c r="E315" t="str">
        <x:v>Weekday</x:v>
      </x:c>
      <x:c r="F315" s="14" t="str">
        <x:v>Saint John of Kanty [Optional Memorial]</x:v>
      </x:c>
      <x:c r="G315" s="14" t="str">
        <x:v>✦ 🙏 🕯</x:v>
      </x:c>
      <x:c r="H315" s="14" t="str"/>
      <x:c r="I315" s="80" t="str">
        <x:v>🙏 Christmas Novena / Simbang Gabi window — Day 8/9
🙏 O Antiphons — Day 7/7 [END]</x:v>
      </x:c>
      <x:c r="J315" s="14" t="str"/>
      <x:c r="K315" s="84" t="str">
        <x:v>🕯 St. Martin's Lent / historical Advent fast</x:v>
      </x:c>
      <x:c r="L315" s="14" t="str"/>
      <x:c r="M315" s="14" t="str"/>
      <x:c r="N315" s="14" t="str">
        <x:v>https://www.usccb.org/resources/2026cal.pdf
https://www.usccb.org/resources/Dio-of-San-Diego-Simbang-Gabi-Dec-2018.pdf
https://www.usccb.org/prayers/o-antiphons-advent
https://www.newadvent.org/cathen/06394b.htm</x:v>
      </x:c>
      <x:c r="O315" s="115" t="e">
        <x:f>HYPERLINK("https://bible.usccb.org/bible/readings/122326.cfm","USCCB readings ↗")</x:f>
        <x:v>HYPERLINK is not implemented. linkLocation=https://bible.usccb.org/bible/readings/122326.cfm, friendlyName=USCCB readings ↗</x:v>
      </x:c>
    </x:row>
    <x:row r="316">
      <x:c r="A316" s="38" t="n">
        <x:v>46380</x:v>
      </x:c>
      <x:c r="B316" t="str">
        <x:v>Thursday</x:v>
      </x:c>
      <x:c r="C316" s="22" t="str">
        <x:v>Advent</x:v>
      </x:c>
      <x:c r="D316" t="str">
        <x:v>Advent Weekday</x:v>
      </x:c>
      <x:c r="E316" t="str">
        <x:v>Weekday</x:v>
      </x:c>
      <x:c r="F316" s="14" t="str"/>
      <x:c r="G316" s="14" t="str">
        <x:v>🙏 🕯</x:v>
      </x:c>
      <x:c r="H316" s="14" t="str"/>
      <x:c r="I316" s="80" t="str">
        <x:v>🙏 Christmas Novena / Simbang Gabi window — Day 9/9 [END]</x:v>
      </x:c>
      <x:c r="J316" s="14" t="str"/>
      <x:c r="K316" s="84" t="str">
        <x:v>🕯 St. Martin's Lent / historical Advent fast</x:v>
      </x:c>
      <x:c r="L316" s="14" t="str"/>
      <x:c r="M316" s="14" t="str"/>
      <x:c r="N316" s="14" t="str">
        <x:v>https://www.usccb.org/resources/2026cal.pdf
https://www.usccb.org/resources/Dio-of-San-Diego-Simbang-Gabi-Dec-2018.pdf
https://www.newadvent.org/cathen/06394b.htm</x:v>
      </x:c>
      <x:c r="O316" s="115" t="e">
        <x:f>HYPERLINK("https://bible.usccb.org/bible/readings/122426.cfm","USCCB readings ↗")</x:f>
        <x:v>HYPERLINK is not implemented. linkLocation=https://bible.usccb.org/bible/readings/122426.cfm, friendlyName=USCCB readings ↗</x:v>
      </x:c>
    </x:row>
    <x:row r="317">
      <x:c r="A317" s="38" t="n">
        <x:v>46381</x:v>
      </x:c>
      <x:c r="B317" t="str">
        <x:v>Friday</x:v>
      </x:c>
      <x:c r="C317" s="24" t="str">
        <x:v>Christmas</x:v>
      </x:c>
      <x:c r="D317" t="str">
        <x:v>Nativity of the Lord (Christmas)</x:v>
      </x:c>
      <x:c r="E317" t="str">
        <x:v>Solemnity</x:v>
      </x:c>
      <x:c r="F317" s="14" t="str">
        <x:v>Nativity of the Lord (Christmas) [Solemnity]</x:v>
      </x:c>
      <x:c r="G317" s="14" t="str">
        <x:v>★ ✝ ⛪ Ⓟ</x:v>
      </x:c>
      <x:c r="H317" s="78" t="str">
        <x:v>⛪ Holy Day of Obligation — Christmas</x:v>
      </x:c>
      <x:c r="I317" s="14" t="str"/>
      <x:c r="J317" s="82" t="str">
        <x:v>Friday penance — outside Lent, U.S. Catholics may choose an appropriate penitential practice</x:v>
      </x:c>
      <x:c r="K317" s="14" t="str"/>
      <x:c r="L317" s="14" t="str"/>
      <x:c r="M317" s="14" t="str"/>
      <x:c r="N317" s="14" t="str">
        <x:v>https://www.usccb.org/resources/2026cal.pdf
https://www.usccb.org/beliefs-and-teachings/what-we-believe/canon-law/complementary-norms/canon-1246
https://www.usccb.org/prayer-and-worship/liturgical-year-and-calendar/lent/catholic-information-on-lenten-fast-and-abstinence</x:v>
      </x:c>
      <x:c r="O317" s="115" t="e">
        <x:f>HYPERLINK("https://bible.usccb.org/bible/readings/122526.cfm","USCCB readings ↗")</x:f>
        <x:v>HYPERLINK is not implemented. linkLocation=https://bible.usccb.org/bible/readings/122526.cfm, friendlyName=USCCB readings ↗</x:v>
      </x:c>
    </x:row>
    <x:row r="318">
      <x:c r="A318" s="38" t="n">
        <x:v>46382</x:v>
      </x:c>
      <x:c r="B318" t="str">
        <x:v>Saturday</x:v>
      </x:c>
      <x:c r="C318" s="24" t="str">
        <x:v>Christmas</x:v>
      </x:c>
      <x:c r="D318" t="str">
        <x:v>Saint Stephen, First Martyr</x:v>
      </x:c>
      <x:c r="E318" t="str">
        <x:v>Feast</x:v>
      </x:c>
      <x:c r="F318" s="14" t="str">
        <x:v>Saint Stephen, First Martyr [Feast]</x:v>
      </x:c>
      <x:c r="G318" s="14" t="str">
        <x:v>★ ✦</x:v>
      </x:c>
      <x:c r="H318" s="14" t="str"/>
      <x:c r="I318" s="14" t="str"/>
      <x:c r="J318" s="14" t="str"/>
      <x:c r="K318" s="14" t="str"/>
      <x:c r="L318" s="14" t="str"/>
      <x:c r="M318" s="14" t="str"/>
      <x:c r="N318" s="14" t="str">
        <x:v>https://www.usccb.org/resources/2026cal.pdf</x:v>
      </x:c>
      <x:c r="O318" s="115" t="e">
        <x:f>HYPERLINK("https://bible.usccb.org/bible/readings/122626.cfm","USCCB readings ↗")</x:f>
        <x:v>HYPERLINK is not implemented. linkLocation=https://bible.usccb.org/bible/readings/122626.cfm, friendlyName=USCCB readings ↗</x:v>
      </x:c>
    </x:row>
    <x:row r="319">
      <x:c r="A319" s="38" t="n">
        <x:v>46383</x:v>
      </x:c>
      <x:c r="B319" t="str">
        <x:v>Sunday</x:v>
      </x:c>
      <x:c r="C319" s="24" t="str">
        <x:v>Christmas</x:v>
      </x:c>
      <x:c r="D319" t="str">
        <x:v>Holy Family of Jesus, Mary and Joseph</x:v>
      </x:c>
      <x:c r="E319" t="str">
        <x:v>Feast</x:v>
      </x:c>
      <x:c r="F319" s="76" t="str">
        <x:v>Saint John, Apostle and Evangelist [Feast]</x:v>
      </x:c>
      <x:c r="G319" s="14" t="str">
        <x:v>★ ✝ 🌹 ✦ ⛪</x:v>
      </x:c>
      <x:c r="H319" s="78" t="str">
        <x:v>⛪ Sunday Mass obligation</x:v>
      </x:c>
      <x:c r="I319" s="14" t="str"/>
      <x:c r="J319" s="14" t="str"/>
      <x:c r="K319" s="14" t="str"/>
      <x:c r="L319" s="14" t="str"/>
      <x:c r="M319" s="14" t="str">
        <x:v>A fixed observance also falls today, but the Sunday or higher-ranking celebration takes liturgical precedence.</x:v>
      </x:c>
      <x:c r="N319" s="14" t="str">
        <x:v>https://www.usccb.org/resources/2026cal.pdf
https://www.usccb.org/beliefs-and-teachings/what-we-believe/canon-law/complementary-norms/canon-1246</x:v>
      </x:c>
      <x:c r="O319" s="115" t="e">
        <x:f>HYPERLINK("https://bible.usccb.org/bible/readings/122726.cfm","USCCB readings ↗")</x:f>
        <x:v>HYPERLINK is not implemented. linkLocation=https://bible.usccb.org/bible/readings/122726.cfm, friendlyName=USCCB readings ↗</x:v>
      </x:c>
    </x:row>
    <x:row r="320">
      <x:c r="A320" s="38" t="n">
        <x:v>46384</x:v>
      </x:c>
      <x:c r="B320" t="str">
        <x:v>Monday</x:v>
      </x:c>
      <x:c r="C320" s="24" t="str">
        <x:v>Christmas</x:v>
      </x:c>
      <x:c r="D320" t="str">
        <x:v>Holy Innocents, Martyrs</x:v>
      </x:c>
      <x:c r="E320" t="str">
        <x:v>Feast</x:v>
      </x:c>
      <x:c r="F320" s="14" t="str">
        <x:v>Holy Innocents, Martyrs [Feast]</x:v>
      </x:c>
      <x:c r="G320" s="14" t="str">
        <x:v>★ ✦</x:v>
      </x:c>
      <x:c r="H320" s="14" t="str"/>
      <x:c r="I320" s="14" t="str"/>
      <x:c r="J320" s="14" t="str"/>
      <x:c r="K320" s="14" t="str"/>
      <x:c r="L320" s="14" t="str"/>
      <x:c r="M320" s="14" t="str"/>
      <x:c r="N320" s="14" t="str">
        <x:v>https://www.usccb.org/resources/2026cal.pdf</x:v>
      </x:c>
      <x:c r="O320" s="115" t="e">
        <x:f>HYPERLINK("https://bible.usccb.org/bible/readings/122826.cfm","USCCB readings ↗")</x:f>
        <x:v>HYPERLINK is not implemented. linkLocation=https://bible.usccb.org/bible/readings/122826.cfm, friendlyName=USCCB readings ↗</x:v>
      </x:c>
    </x:row>
    <x:row r="321">
      <x:c r="A321" s="38" t="n">
        <x:v>46385</x:v>
      </x:c>
      <x:c r="B321" t="str">
        <x:v>Tuesday</x:v>
      </x:c>
      <x:c r="C321" s="24" t="str">
        <x:v>Christmas</x:v>
      </x:c>
      <x:c r="D321" t="str">
        <x:v>Christmas Weekday</x:v>
      </x:c>
      <x:c r="E321" t="str">
        <x:v>Weekday</x:v>
      </x:c>
      <x:c r="F321" s="14" t="str">
        <x:v>Saint Thomas Becket [Optional Memorial]</x:v>
      </x:c>
      <x:c r="G321" s="14" t="str">
        <x:v>✦</x:v>
      </x:c>
      <x:c r="H321" s="14" t="str"/>
      <x:c r="I321" s="14" t="str"/>
      <x:c r="J321" s="14" t="str"/>
      <x:c r="K321" s="14" t="str"/>
      <x:c r="L321" s="14" t="str"/>
      <x:c r="M321" s="14" t="str"/>
      <x:c r="N321" s="14" t="str">
        <x:v>https://www.usccb.org/resources/2026cal.pdf</x:v>
      </x:c>
      <x:c r="O321" s="115" t="e">
        <x:f>HYPERLINK("https://bible.usccb.org/bible/readings/122926.cfm","USCCB readings ↗")</x:f>
        <x:v>HYPERLINK is not implemented. linkLocation=https://bible.usccb.org/bible/readings/122926.cfm, friendlyName=USCCB readings ↗</x:v>
      </x:c>
    </x:row>
    <x:row r="322">
      <x:c r="A322" s="38" t="n">
        <x:v>46387</x:v>
      </x:c>
      <x:c r="B322" t="str">
        <x:v>Thursday</x:v>
      </x:c>
      <x:c r="C322" s="24" t="str">
        <x:v>Christmas</x:v>
      </x:c>
      <x:c r="D322" t="str">
        <x:v>Christmas Weekday</x:v>
      </x:c>
      <x:c r="E322" t="str">
        <x:v>Weekday</x:v>
      </x:c>
      <x:c r="F322" s="14" t="str">
        <x:v>Saint Sylvester I [Optional Memorial]</x:v>
      </x:c>
      <x:c r="G322" s="14" t="str">
        <x:v>✦</x:v>
      </x:c>
      <x:c r="H322" s="14" t="str"/>
      <x:c r="I322" s="14" t="str"/>
      <x:c r="J322" s="14" t="str"/>
      <x:c r="K322" s="14" t="str"/>
      <x:c r="L322" s="14" t="str"/>
      <x:c r="M322" s="14" t="str"/>
      <x:c r="N322" s="14" t="str">
        <x:v>https://www.usccb.org/resources/2026cal.pdf</x:v>
      </x:c>
      <x:c r="O322" s="115" t="e">
        <x:f>HYPERLINK("https://bible.usccb.org/bible/readings/123126.cfm","USCCB readings ↗")</x:f>
        <x:v>HYPERLINK is not implemented. linkLocation=https://bible.usccb.org/bible/readings/123126.cfm, friendlyName=USCCB readings ↗</x:v>
      </x:c>
    </x:row>
  </x:sheetData>
  <x:pageMargins left="0.7" right="0.7" top="0.75" bottom="0.75" header="0.3" footer="0.3"/>
  <x:tableParts count="1">
    <x:tablePart xmlns:r="http://schemas.openxmlformats.org/officeDocument/2006/relationships" r:id="R172b5f17a87c4f3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5" hidden="0" customWidth="1"/>
    <x:col min="3" max="3" width="15" hidden="0" customWidth="1"/>
    <x:col min="4" max="4" width="22" hidden="0" customWidth="1"/>
    <x:col min="5" max="5" width="30" hidden="0" customWidth="1"/>
    <x:col min="6" max="6" width="76" hidden="0" customWidth="1"/>
    <x:col min="7" max="7" width="58" hidden="0" customWidth="1"/>
  </x:cols>
  <x:sheetData>
    <x:row r="1">
      <x:c r="A1" s="87" t="str">
        <x:v>Devotion</x:v>
      </x:c>
      <x:c r="B1" s="87" t="str">
        <x:v>Start</x:v>
      </x:c>
      <x:c r="C1" s="87" t="str">
        <x:v>End</x:v>
      </x:c>
      <x:c r="D1" s="87" t="str">
        <x:v>Length / Pattern</x:v>
      </x:c>
      <x:c r="E1" s="87" t="str">
        <x:v>Classification</x:v>
      </x:c>
      <x:c r="F1" s="87" t="str">
        <x:v>Notes</x:v>
      </x:c>
      <x:c r="G1" s="87" t="str">
        <x:v>Source URL</x:v>
      </x:c>
    </x:row>
    <x:row r="2">
      <x:c r="A2" s="14" t="str">
        <x:v>First Friday devotion</x:v>
      </x:c>
      <x:c r="B2" s="90" t="str"/>
      <x:c r="C2" s="90" t="str"/>
      <x:c r="D2" s="14" t="str">
        <x:v>Monthly / classic nine First Fridays</x:v>
      </x:c>
      <x:c r="E2" s="14" t="str">
        <x:v>Popular Sacred Heart devotion</x:v>
      </x:c>
      <x:c r="F2" s="14" t="str">
        <x:v>First Friday of each month.</x:v>
      </x:c>
      <x:c r="G2" s="14" t="str">
        <x:v>https://www.ewtn.com/catholicism/library/first-friday-devotion-to-sacred-heart-4692</x:v>
      </x:c>
    </x:row>
    <x:row r="3">
      <x:c r="A3" s="14" t="str">
        <x:v>First Saturday devotion</x:v>
      </x:c>
      <x:c r="B3" s="90" t="str"/>
      <x:c r="C3" s="90" t="str"/>
      <x:c r="D3" s="14" t="str">
        <x:v>Monthly / classic five First Saturdays</x:v>
      </x:c>
      <x:c r="E3" s="14" t="str">
        <x:v>Popular Immaculate Heart devotion</x:v>
      </x:c>
      <x:c r="F3" s="14" t="str">
        <x:v>First Saturday of each month.</x:v>
      </x:c>
      <x:c r="G3" s="14" t="str">
        <x:v>https://www.ewtn.com/catholicism/library/revelation-of-the-immaculate-heart-at-fatima-in-1917-5465</x:v>
      </x:c>
    </x:row>
    <x:row r="4">
      <x:c r="A4" s="14" t="str">
        <x:v>Novena for Saint Joseph</x:v>
      </x:c>
      <x:c r="B4" s="90" t="n">
        <x:v>46091</x:v>
      </x:c>
      <x:c r="C4" s="90" t="n">
        <x:v>46099</x:v>
      </x:c>
      <x:c r="D4" s="14" t="str">
        <x:v>9 days</x:v>
      </x:c>
      <x:c r="E4" s="14" t="str">
        <x:v>USCCB annual novena</x:v>
      </x:c>
      <x:c r="F4" s="14" t="str">
        <x:v>Annual March 10–18 novena before March 19.</x:v>
      </x:c>
      <x:c r="G4" s="14" t="str">
        <x:v>https://www.usccb.org/prayer-and-worship/prayers-and-devotions/prayers/novena-for-the-solemnity-of-saint-joseph</x:v>
      </x:c>
    </x:row>
    <x:row r="5">
      <x:c r="A5" s="14" t="str">
        <x:v>Divine Mercy Novena</x:v>
      </x:c>
      <x:c r="B5" s="90" t="n">
        <x:v>46115</x:v>
      </x:c>
      <x:c r="C5" s="90" t="n">
        <x:v>46123</x:v>
      </x:c>
      <x:c r="D5" s="14" t="str">
        <x:v>9 days</x:v>
      </x:c>
      <x:c r="E5" s="14" t="str">
        <x:v>Established Divine Mercy devotion</x:v>
      </x:c>
      <x:c r="F5" s="14" t="str">
        <x:v>Begins Good Friday.</x:v>
      </x:c>
      <x:c r="G5" s="14" t="str">
        <x:v>https://thedivinemercy.org/articles/pray-novena-divine-mercy-april-3-11</x:v>
      </x:c>
    </x:row>
    <x:row r="6">
      <x:c r="A6" s="14" t="str">
        <x:v>Holy Spirit / Pentecost Novena</x:v>
      </x:c>
      <x:c r="B6" s="90" t="n">
        <x:v>46157</x:v>
      </x:c>
      <x:c r="C6" s="90" t="n">
        <x:v>46165</x:v>
      </x:c>
      <x:c r="D6" s="14" t="str">
        <x:v>9 days</x:v>
      </x:c>
      <x:c r="E6" s="14" t="str">
        <x:v>Historic Church-wide novena</x:v>
      </x:c>
      <x:c r="F6" s="14" t="str">
        <x:v>Annual novena before Pentecost.</x:v>
      </x:c>
      <x:c r="G6" s="14" t="str">
        <x:v>https://www.vatican.va/content/leo-xiii/en/encyclicals/documents/hf_l-xiii_enc_09051897_divinum-illud-munus.html</x:v>
      </x:c>
    </x:row>
    <x:row r="7">
      <x:c r="A7" s="14" t="str">
        <x:v>Sacred Heart Novena</x:v>
      </x:c>
      <x:c r="B7" s="90" t="n">
        <x:v>46176</x:v>
      </x:c>
      <x:c r="C7" s="90" t="n">
        <x:v>46184</x:v>
      </x:c>
      <x:c r="D7" s="14" t="str">
        <x:v>9 days</x:v>
      </x:c>
      <x:c r="E7" s="14" t="str">
        <x:v>Popular feast-preparation novena</x:v>
      </x:c>
      <x:c r="F7" s="14" t="str">
        <x:v>Nine days immediately before the Sacred Heart solemnity.</x:v>
      </x:c>
      <x:c r="G7" s="14" t="str">
        <x:v>https://www.usccb.org/resources/liturgical-calendar-dioceses-united-states-america</x:v>
      </x:c>
    </x:row>
    <x:row r="8">
      <x:c r="A8" s="14" t="str">
        <x:v>54-Day Rosary Novena</x:v>
      </x:c>
      <x:c r="B8" s="90" t="n">
        <x:v>46249</x:v>
      </x:c>
      <x:c r="C8" s="90" t="n">
        <x:v>46302</x:v>
      </x:c>
      <x:c r="D8" s="14" t="str">
        <x:v>54 days</x:v>
      </x:c>
      <x:c r="E8" s="14" t="str">
        <x:v>Popular Marian devotion</x:v>
      </x:c>
      <x:c r="F8" s="14" t="str">
        <x:v>This edition uses the Assumption-to-Our-Lady-of-the-Rosary alignment.</x:v>
      </x:c>
      <x:c r="G8" s="14" t="str">
        <x:v>https://hallow.com/blog/how-to-pray-54-day-novena/</x:v>
      </x:c>
    </x:row>
    <x:row r="9">
      <x:c r="A9" s="14" t="str">
        <x:v>St. Michael's Lent</x:v>
      </x:c>
      <x:c r="B9" s="90" t="n">
        <x:v>46249</x:v>
      </x:c>
      <x:c r="C9" s="90" t="n">
        <x:v>46294</x:v>
      </x:c>
      <x:c r="D9" s="14" t="str">
        <x:v>Traditional period</x:v>
      </x:c>
      <x:c r="E9" s="14" t="str">
        <x:v>Franciscan/private devotion</x:v>
      </x:c>
      <x:c r="F9" s="14" t="str">
        <x:v>Not a universal liturgical season; exact '40-day' reckoning varies by devotional practice.</x:v>
      </x:c>
      <x:c r="G9" s="14" t="str">
        <x:v>https://www.franciscantradition.org/blog/the-five-lents-of-francis-vjkyuy/</x:v>
      </x:c>
    </x:row>
    <x:row r="10">
      <x:c r="A10" s="14" t="str">
        <x:v>St. Michael Novena</x:v>
      </x:c>
      <x:c r="B10" s="90" t="n">
        <x:v>46285</x:v>
      </x:c>
      <x:c r="C10" s="90" t="n">
        <x:v>46293</x:v>
      </x:c>
      <x:c r="D10" s="14" t="str">
        <x:v>9 days</x:v>
      </x:c>
      <x:c r="E10" s="14" t="str">
        <x:v>Popular feast-preparation novena</x:v>
      </x:c>
      <x:c r="F10" s="14" t="str">
        <x:v>Immediately before Sept. 29.</x:v>
      </x:c>
      <x:c r="G10" s="14" t="str">
        <x:v>https://www.usccb.org/resources/liturgical-calendar-dioceses-united-states-america</x:v>
      </x:c>
    </x:row>
    <x:row r="11">
      <x:c r="A11" s="14" t="str">
        <x:v>Immaculate Conception Novena</x:v>
      </x:c>
      <x:c r="B11" s="90" t="n">
        <x:v>46355</x:v>
      </x:c>
      <x:c r="C11" s="90" t="n">
        <x:v>46363</x:v>
      </x:c>
      <x:c r="D11" s="14" t="str">
        <x:v>9 days</x:v>
      </x:c>
      <x:c r="E11" s="14" t="str">
        <x:v>Popular Marian novena</x:v>
      </x:c>
      <x:c r="F11" s="14" t="str">
        <x:v>Nine days before Dec. 8.</x:v>
      </x:c>
      <x:c r="G11" s="14" t="str">
        <x:v>https://www.usccb.org/resources/liturgical-calendar-dioceses-united-states-america</x:v>
      </x:c>
    </x:row>
    <x:row r="12">
      <x:c r="A12" s="14" t="str">
        <x:v>Christmas Novena / Simbang Gabi</x:v>
      </x:c>
      <x:c r="B12" s="90" t="n">
        <x:v>46372</x:v>
      </x:c>
      <x:c r="C12" s="90" t="n">
        <x:v>46380</x:v>
      </x:c>
      <x:c r="D12" s="14" t="str">
        <x:v>9 days</x:v>
      </x:c>
      <x:c r="E12" s="14" t="str">
        <x:v>Traditional Christmas preparation</x:v>
      </x:c>
      <x:c r="F12" s="14" t="str">
        <x:v>Common Dec. 16–24 window.</x:v>
      </x:c>
      <x:c r="G12" s="14" t="str">
        <x:v>https://www.usccb.org/resources/Dio-of-San-Diego-Simbang-Gabi-Dec-2018.pdf</x:v>
      </x:c>
    </x:row>
    <x:row r="13">
      <x:c r="A13" s="14" t="str">
        <x:v>O Antiphons</x:v>
      </x:c>
      <x:c r="B13" s="90" t="n">
        <x:v>46373</x:v>
      </x:c>
      <x:c r="C13" s="90" t="n">
        <x:v>46379</x:v>
      </x:c>
      <x:c r="D13" s="14" t="str">
        <x:v>7 days</x:v>
      </x:c>
      <x:c r="E13" s="14" t="str">
        <x:v>Liturgical devotional sequence</x:v>
      </x:c>
      <x:c r="F13" s="14" t="str">
        <x:v>Great O Antiphons of Advent.</x:v>
      </x:c>
      <x:c r="G13" s="14" t="str">
        <x:v>https://www.usccb.org/prayers/o-antiphons-advent</x:v>
      </x:c>
    </x:row>
    <x:row r="14">
      <x:c r="A14" t="str">
        <x:v>St. Andrew Christmas Novena / Christmas Anticipation Prayer</x:v>
      </x:c>
      <x:c r="B14" t="n">
        <x:v>46356</x:v>
      </x:c>
      <x:c r="C14" t="n">
        <x:v>46380</x:v>
      </x:c>
      <x:c r="D14" t="str">
        <x:v>25 days</x:v>
      </x:c>
      <x:c r="E14" t="str">
        <x:v>Popular Advent devotion</x:v>
      </x:c>
      <x:c r="F14" t="str">
        <x:v>Traditionally prayed from the feast of St. Andrew through Christmas Eve; often repeated 15 times daily.</x:v>
      </x:c>
      <x:c r="G14" t="str">
        <x:v>https://hallow.com/blog/how-to-pray-the-st-andrew-christmas-novena/</x:v>
      </x:c>
    </x:row>
  </x:sheetData>
  <x:pageMargins left="0.7" right="0.7" top="0.75" bottom="0.75" header="0.3" footer="0.3"/>
  <x:tableParts count="1">
    <x:tablePart xmlns:r="http://schemas.openxmlformats.org/officeDocument/2006/relationships" r:id="R57a2e4c33fee4bc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8" hidden="0" customWidth="1"/>
    <x:col min="3" max="3" width="26" hidden="0" customWidth="1"/>
    <x:col min="4" max="4" width="15" hidden="0" customWidth="1"/>
    <x:col min="5" max="5" width="15" hidden="0" customWidth="1"/>
    <x:col min="6" max="6" width="80" hidden="0" customWidth="1"/>
  </x:cols>
  <x:sheetData>
    <x:row r="1">
      <x:c r="A1" s="93" t="str">
        <x:v>Feast Date</x:v>
      </x:c>
      <x:c r="B1" s="93" t="str">
        <x:v>Feast / Saint</x:v>
      </x:c>
      <x:c r="C1" s="93" t="str">
        <x:v>Type</x:v>
      </x:c>
      <x:c r="D1" s="93" t="str">
        <x:v>Suggested Start</x:v>
      </x:c>
      <x:c r="E1" s="93" t="str">
        <x:v>Suggested End</x:v>
      </x:c>
      <x:c r="F1" s="93" t="str">
        <x:v>Important note</x:v>
      </x:c>
    </x:row>
    <x:row r="2">
      <x:c r="A2" s="90" t="n">
        <x:v>46064</x:v>
      </x:c>
      <x:c r="B2" s="14" t="str">
        <x:v>Our Lady of Lourdes</x:v>
      </x:c>
      <x:c r="C2" s="14" t="str">
        <x:v>Marian</x:v>
      </x:c>
      <x:c r="D2" s="90" t="n">
        <x:v>46055</x:v>
      </x:c>
      <x:c r="E2" s="90" t="n">
        <x:v>46063</x:v>
      </x:c>
      <x:c r="F2" s="14" t="str">
        <x:v>Convenience window: nine consecutive days ending the day before the feast. This does not mean every feast has one universally prescribed novena.</x:v>
      </x:c>
    </x:row>
    <x:row r="3">
      <x:c r="A3" s="90" t="n">
        <x:v>46100</x:v>
      </x:c>
      <x:c r="B3" s="14" t="str">
        <x:v>Saint Joseph</x:v>
      </x:c>
      <x:c r="C3" s="14" t="str">
        <x:v>Saint Joseph</x:v>
      </x:c>
      <x:c r="D3" s="90" t="n">
        <x:v>46091</x:v>
      </x:c>
      <x:c r="E3" s="90" t="n">
        <x:v>46099</x:v>
      </x:c>
      <x:c r="F3" s="14" t="str">
        <x:v>Convenience window: nine consecutive days ending the day before the feast. This does not mean every feast has one universally prescribed novena.</x:v>
      </x:c>
    </x:row>
    <x:row r="4">
      <x:c r="A4" s="90" t="n">
        <x:v>46155</x:v>
      </x:c>
      <x:c r="B4" s="14" t="str">
        <x:v>Our Lady of Fatima</x:v>
      </x:c>
      <x:c r="C4" s="14" t="str">
        <x:v>Marian</x:v>
      </x:c>
      <x:c r="D4" s="90" t="n">
        <x:v>46146</x:v>
      </x:c>
      <x:c r="E4" s="90" t="n">
        <x:v>46154</x:v>
      </x:c>
      <x:c r="F4" s="14" t="str">
        <x:v>Convenience window: nine consecutive days ending the day before the feast. This does not mean every feast has one universally prescribed novena.</x:v>
      </x:c>
    </x:row>
    <x:row r="5">
      <x:c r="A5" s="90" t="n">
        <x:v>46186</x:v>
      </x:c>
      <x:c r="B5" s="14" t="str">
        <x:v>Saint Anthony of Padua</x:v>
      </x:c>
      <x:c r="C5" s="14" t="str">
        <x:v>Popular saint</x:v>
      </x:c>
      <x:c r="D5" s="90" t="n">
        <x:v>46177</x:v>
      </x:c>
      <x:c r="E5" s="90" t="n">
        <x:v>46185</x:v>
      </x:c>
      <x:c r="F5" s="14" t="str">
        <x:v>Convenience window: nine consecutive days ending the day before the feast. This does not mean every feast has one universally prescribed novena.</x:v>
      </x:c>
    </x:row>
    <x:row r="6">
      <x:c r="A6" s="90" t="n">
        <x:v>46219</x:v>
      </x:c>
      <x:c r="B6" s="14" t="str">
        <x:v>Our Lady of Mount Carmel</x:v>
      </x:c>
      <x:c r="C6" s="14" t="str">
        <x:v>Marian</x:v>
      </x:c>
      <x:c r="D6" s="90" t="n">
        <x:v>46210</x:v>
      </x:c>
      <x:c r="E6" s="90" t="n">
        <x:v>46218</x:v>
      </x:c>
      <x:c r="F6" s="14" t="str">
        <x:v>Convenience window: nine consecutive days ending the day before the feast. This does not mean every feast has one universally prescribed novena.</x:v>
      </x:c>
    </x:row>
    <x:row r="7">
      <x:c r="A7" s="90" t="n">
        <x:v>46229</x:v>
      </x:c>
      <x:c r="B7" s="14" t="str">
        <x:v>Saints Joachim and Anne</x:v>
      </x:c>
      <x:c r="C7" s="14" t="str">
        <x:v>Popular saints</x:v>
      </x:c>
      <x:c r="D7" s="90" t="n">
        <x:v>46220</x:v>
      </x:c>
      <x:c r="E7" s="90" t="n">
        <x:v>46228</x:v>
      </x:c>
      <x:c r="F7" s="14" t="str">
        <x:v>Convenience window: nine consecutive days ending the day before the feast. This does not mean every feast has one universally prescribed novena.</x:v>
      </x:c>
    </x:row>
    <x:row r="8">
      <x:c r="A8" s="90" t="n">
        <x:v>46249</x:v>
      </x:c>
      <x:c r="B8" s="14" t="str">
        <x:v>Assumption of the Blessed Virgin Mary</x:v>
      </x:c>
      <x:c r="C8" s="14" t="str">
        <x:v>Marian</x:v>
      </x:c>
      <x:c r="D8" s="90" t="n">
        <x:v>46240</x:v>
      </x:c>
      <x:c r="E8" s="90" t="n">
        <x:v>46248</x:v>
      </x:c>
      <x:c r="F8" s="14" t="str">
        <x:v>Convenience window: nine consecutive days ending the day before the feast. This does not mean every feast has one universally prescribed novena.</x:v>
      </x:c>
    </x:row>
    <x:row r="9">
      <x:c r="A9" s="90" t="n">
        <x:v>46280</x:v>
      </x:c>
      <x:c r="B9" s="14" t="str">
        <x:v>Our Lady of Sorrows</x:v>
      </x:c>
      <x:c r="C9" s="14" t="str">
        <x:v>Marian</x:v>
      </x:c>
      <x:c r="D9" s="90" t="n">
        <x:v>46271</x:v>
      </x:c>
      <x:c r="E9" s="90" t="n">
        <x:v>46279</x:v>
      </x:c>
      <x:c r="F9" s="14" t="str">
        <x:v>Convenience window: nine consecutive days ending the day before the feast. This does not mean every feast has one universally prescribed novena.</x:v>
      </x:c>
    </x:row>
    <x:row r="10">
      <x:c r="A10" s="90" t="n">
        <x:v>46294</x:v>
      </x:c>
      <x:c r="B10" s="14" t="str">
        <x:v>Saints Michael, Gabriel and Raphael</x:v>
      </x:c>
      <x:c r="C10" s="14" t="str">
        <x:v>Archangels</x:v>
      </x:c>
      <x:c r="D10" s="90" t="n">
        <x:v>46285</x:v>
      </x:c>
      <x:c r="E10" s="90" t="n">
        <x:v>46293</x:v>
      </x:c>
      <x:c r="F10" s="14" t="str">
        <x:v>Convenience window: nine consecutive days ending the day before the feast. This does not mean every feast has one universally prescribed novena.</x:v>
      </x:c>
    </x:row>
    <x:row r="11">
      <x:c r="A11" s="90" t="n">
        <x:v>46296</x:v>
      </x:c>
      <x:c r="B11" s="14" t="str">
        <x:v>Saint Thérèse of Lisieux</x:v>
      </x:c>
      <x:c r="C11" s="14" t="str">
        <x:v>Popular saint</x:v>
      </x:c>
      <x:c r="D11" s="90" t="n">
        <x:v>46287</x:v>
      </x:c>
      <x:c r="E11" s="90" t="n">
        <x:v>46295</x:v>
      </x:c>
      <x:c r="F11" s="14" t="str">
        <x:v>Convenience window: nine consecutive days ending the day before the feast. This does not mean every feast has one universally prescribed novena.</x:v>
      </x:c>
    </x:row>
    <x:row r="12">
      <x:c r="A12" s="90" t="n">
        <x:v>46302</x:v>
      </x:c>
      <x:c r="B12" s="14" t="str">
        <x:v>Our Lady of the Rosary</x:v>
      </x:c>
      <x:c r="C12" s="14" t="str">
        <x:v>Marian</x:v>
      </x:c>
      <x:c r="D12" s="90" t="n">
        <x:v>46293</x:v>
      </x:c>
      <x:c r="E12" s="90" t="n">
        <x:v>46301</x:v>
      </x:c>
      <x:c r="F12" s="14" t="str">
        <x:v>Convenience window: nine consecutive days ending the day before the feast. This does not mean every feast has one universally prescribed novena.</x:v>
      </x:c>
    </x:row>
    <x:row r="13">
      <x:c r="A13" s="90" t="n">
        <x:v>46310</x:v>
      </x:c>
      <x:c r="B13" s="14" t="str">
        <x:v>Saint Teresa of Ávila</x:v>
      </x:c>
      <x:c r="C13" s="14" t="str">
        <x:v>Popular saint</x:v>
      </x:c>
      <x:c r="D13" s="90" t="n">
        <x:v>46301</x:v>
      </x:c>
      <x:c r="E13" s="90" t="n">
        <x:v>46309</x:v>
      </x:c>
      <x:c r="F13" s="14" t="str">
        <x:v>Convenience window: nine consecutive days ending the day before the feast. This does not mean every feast has one universally prescribed novena.</x:v>
      </x:c>
    </x:row>
    <x:row r="14">
      <x:c r="A14" s="90" t="n">
        <x:v>46323</x:v>
      </x:c>
      <x:c r="B14" s="14" t="str">
        <x:v>Saints Simon and Jude</x:v>
      </x:c>
      <x:c r="C14" s="14" t="str">
        <x:v>Apostles / St. Jude devotion</x:v>
      </x:c>
      <x:c r="D14" s="90" t="n">
        <x:v>46314</x:v>
      </x:c>
      <x:c r="E14" s="90" t="n">
        <x:v>46322</x:v>
      </x:c>
      <x:c r="F14" s="14" t="str">
        <x:v>Convenience window: nine consecutive days ending the day before the feast. This does not mean every feast has one universally prescribed novena.</x:v>
      </x:c>
    </x:row>
    <x:row r="15">
      <x:c r="A15" s="90" t="n">
        <x:v>46364</x:v>
      </x:c>
      <x:c r="B15" s="14" t="str">
        <x:v>Immaculate Conception</x:v>
      </x:c>
      <x:c r="C15" s="14" t="str">
        <x:v>Marian</x:v>
      </x:c>
      <x:c r="D15" s="90" t="n">
        <x:v>46355</x:v>
      </x:c>
      <x:c r="E15" s="90" t="n">
        <x:v>46363</x:v>
      </x:c>
      <x:c r="F15" s="14" t="str">
        <x:v>Convenience window: nine consecutive days ending the day before the feast. This does not mean every feast has one universally prescribed novena.</x:v>
      </x:c>
    </x:row>
    <x:row r="16">
      <x:c r="A16" s="90" t="n">
        <x:v>46368</x:v>
      </x:c>
      <x:c r="B16" s="14" t="str">
        <x:v>Our Lady of Guadalupe</x:v>
      </x:c>
      <x:c r="C16" s="14" t="str">
        <x:v>Marian</x:v>
      </x:c>
      <x:c r="D16" s="90" t="n">
        <x:v>46359</x:v>
      </x:c>
      <x:c r="E16" s="90" t="n">
        <x:v>46367</x:v>
      </x:c>
      <x:c r="F16" s="14" t="str">
        <x:v>Convenience window: nine consecutive days ending the day before the feast. This does not mean every feast has one universally prescribed novena.</x:v>
      </x:c>
    </x:row>
  </x:sheetData>
  <x:pageMargins left="0.7" right="0.7" top="0.75" bottom="0.75" header="0.3" footer="0.3"/>
  <x:tableParts count="1">
    <x:tablePart xmlns:r="http://schemas.openxmlformats.org/officeDocument/2006/relationships" r:id="Rfaa462fbaeee4257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5" hidden="0" customWidth="1"/>
    <x:col min="3" max="3" width="15" hidden="0" customWidth="1"/>
    <x:col min="4" max="4" width="34" hidden="0" customWidth="1"/>
    <x:col min="5" max="5" width="80" hidden="0" customWidth="1"/>
    <x:col min="6" max="6" width="58" hidden="0" customWidth="1"/>
  </x:cols>
  <x:sheetData>
    <x:row r="1">
      <x:c r="A1" s="97" t="str">
        <x:v>Observance</x:v>
      </x:c>
      <x:c r="B1" s="97" t="str">
        <x:v>Start</x:v>
      </x:c>
      <x:c r="C1" s="97" t="str">
        <x:v>End</x:v>
      </x:c>
      <x:c r="D1" s="97" t="str">
        <x:v>Classification</x:v>
      </x:c>
      <x:c r="E1" s="97" t="str">
        <x:v>What it is</x:v>
      </x:c>
      <x:c r="F1" s="97" t="str">
        <x:v>Source URL</x:v>
      </x:c>
    </x:row>
    <x:row r="2">
      <x:c r="A2" s="14" t="str">
        <x:v>Septuagesima / Sexagesima / Quinquagesima</x:v>
      </x:c>
      <x:c r="B2" s="90" t="n">
        <x:v>46054</x:v>
      </x:c>
      <x:c r="C2" s="90" t="n">
        <x:v>46068</x:v>
      </x:c>
      <x:c r="D2" s="14" t="str">
        <x:v>Historical Roman pre-Lent</x:v>
      </x:c>
      <x:c r="E2" s="14" t="str">
        <x:v>Older Roman preparation for Lent; not part of the current General Roman Calendar.</x:v>
      </x:c>
      <x:c r="F2" s="14" t="str">
        <x:v>https://www.newadvent.org/cathen/13721b.htm</x:v>
      </x:c>
    </x:row>
    <x:row r="3">
      <x:c r="A3" s="14" t="str">
        <x:v>Lenten Ember Days</x:v>
      </x:c>
      <x:c r="B3" s="90" t="n">
        <x:v>46078</x:v>
      </x:c>
      <x:c r="C3" s="90" t="n">
        <x:v>46081</x:v>
      </x:c>
      <x:c r="D3" s="14" t="str">
        <x:v>Historical Roman observance</x:v>
      </x:c>
      <x:c r="E3" s="14" t="str">
        <x:v>Traditional Wednesday/Friday/Saturday Ember observance.</x:v>
      </x:c>
      <x:c r="F3" s="14" t="str">
        <x:v>https://www.newadvent.org/cathen/05399b.htm</x:v>
      </x:c>
    </x:row>
    <x:row r="4">
      <x:c r="A4" s="14" t="str">
        <x:v>Major Rogation</x:v>
      </x:c>
      <x:c r="B4" s="90" t="n">
        <x:v>46137</x:v>
      </x:c>
      <x:c r="C4" s="90" t="n">
        <x:v>46137</x:v>
      </x:c>
      <x:c r="D4" s="14" t="str">
        <x:v>Historical Roman observance</x:v>
      </x:c>
      <x:c r="E4" s="14" t="str">
        <x:v>Traditional April 25 Rogation.</x:v>
      </x:c>
      <x:c r="F4" s="14" t="str">
        <x:v>https://www.newadvent.org/cathen/13110b.htm</x:v>
      </x:c>
    </x:row>
    <x:row r="5">
      <x:c r="A5" s="14" t="str">
        <x:v>Minor Rogations</x:v>
      </x:c>
      <x:c r="B5" s="90" t="n">
        <x:v>46153</x:v>
      </x:c>
      <x:c r="C5" s="90" t="n">
        <x:v>46155</x:v>
      </x:c>
      <x:c r="D5" s="14" t="str">
        <x:v>Historical Roman observance</x:v>
      </x:c>
      <x:c r="E5" s="14" t="str">
        <x:v>Three days before the traditional Thursday Ascension.</x:v>
      </x:c>
      <x:c r="F5" s="14" t="str">
        <x:v>https://www.newadvent.org/cathen/13110b.htm</x:v>
      </x:c>
    </x:row>
    <x:row r="6">
      <x:c r="A6" s="14" t="str">
        <x:v>Pentecost Ember Days</x:v>
      </x:c>
      <x:c r="B6" s="90" t="n">
        <x:v>46169</x:v>
      </x:c>
      <x:c r="C6" s="90" t="n">
        <x:v>46172</x:v>
      </x:c>
      <x:c r="D6" s="14" t="str">
        <x:v>Historical Roman observance</x:v>
      </x:c>
      <x:c r="E6" s="14" t="str">
        <x:v>Traditional Ember days after Pentecost.</x:v>
      </x:c>
      <x:c r="F6" s="14" t="str">
        <x:v>https://www.newadvent.org/cathen/05399b.htm</x:v>
      </x:c>
    </x:row>
    <x:row r="7">
      <x:c r="A7" s="14" t="str">
        <x:v>Franciscan summer Lent</x:v>
      </x:c>
      <x:c r="B7" s="90" t="n">
        <x:v>46202</x:v>
      </x:c>
      <x:c r="C7" s="90" t="n">
        <x:v>46249</x:v>
      </x:c>
      <x:c r="D7" s="14" t="str">
        <x:v>Historical Franciscan practice</x:v>
      </x:c>
      <x:c r="E7" s="14" t="str">
        <x:v>From Saints Peter and Paul toward the Assumption.</x:v>
      </x:c>
      <x:c r="F7" s="14" t="str">
        <x:v>https://www.franciscantradition.org/blog/the-five-lents-of-francis-vjkyuy/</x:v>
      </x:c>
    </x:row>
    <x:row r="8">
      <x:c r="A8" s="14" t="str">
        <x:v>Autumn Ember Days</x:v>
      </x:c>
      <x:c r="B8" s="90" t="n">
        <x:v>46281</x:v>
      </x:c>
      <x:c r="C8" s="90" t="n">
        <x:v>46284</x:v>
      </x:c>
      <x:c r="D8" s="14" t="str">
        <x:v>Historical Roman observance</x:v>
      </x:c>
      <x:c r="E8" s="14" t="str">
        <x:v>Traditional September Ember observance.</x:v>
      </x:c>
      <x:c r="F8" s="14" t="str">
        <x:v>https://www.newadvent.org/cathen/05399b.htm</x:v>
      </x:c>
    </x:row>
    <x:row r="9">
      <x:c r="A9" s="14" t="str">
        <x:v>St. Martin's Lent</x:v>
      </x:c>
      <x:c r="B9" s="90" t="n">
        <x:v>46338</x:v>
      </x:c>
      <x:c r="C9" s="90" t="n">
        <x:v>46380</x:v>
      </x:c>
      <x:c r="D9" s="14" t="str">
        <x:v>Historical Western Advent fast</x:v>
      </x:c>
      <x:c r="E9" s="14" t="str">
        <x:v>Older extended preparation for Christmas.</x:v>
      </x:c>
      <x:c r="F9" s="14" t="str">
        <x:v>https://www.newadvent.org/cathen/06394b.htm</x:v>
      </x:c>
    </x:row>
    <x:row r="10">
      <x:c r="A10" s="14" t="str">
        <x:v>Winter Ember Days</x:v>
      </x:c>
      <x:c r="B10" s="90" t="n">
        <x:v>46372</x:v>
      </x:c>
      <x:c r="C10" s="90" t="n">
        <x:v>46375</x:v>
      </x:c>
      <x:c r="D10" s="14" t="str">
        <x:v>Historical Roman observance</x:v>
      </x:c>
      <x:c r="E10" s="14" t="str">
        <x:v>Traditional Advent Ember observance.</x:v>
      </x:c>
      <x:c r="F10" s="14" t="str">
        <x:v>https://www.newadvent.org/cathen/05399b.htm</x:v>
      </x:c>
    </x:row>
  </x:sheetData>
  <x:pageMargins left="0.7" right="0.7" top="0.75" bottom="0.75" header="0.3" footer="0.3"/>
  <x:tableParts count="1">
    <x:tablePart xmlns:r="http://schemas.openxmlformats.org/officeDocument/2006/relationships" r:id="R137be35bfdf44a98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4" hidden="0" customWidth="1"/>
    <x:col min="3" max="3" width="44" hidden="0" customWidth="1"/>
    <x:col min="4" max="4" width="72" hidden="0" customWidth="1"/>
    <x:col min="5" max="5" width="58" hidden="0" customWidth="1"/>
  </x:cols>
  <x:sheetData>
    <x:row r="1">
      <x:c r="A1" s="101" t="str">
        <x:v>Date</x:v>
      </x:c>
      <x:c r="B1" s="101" t="str">
        <x:v>Celebration</x:v>
      </x:c>
      <x:c r="C1" s="101" t="str">
        <x:v>Status</x:v>
      </x:c>
      <x:c r="D1" s="101" t="str">
        <x:v>Reason / Note</x:v>
      </x:c>
      <x:c r="E1" s="101" t="str">
        <x:v>Source URL</x:v>
      </x:c>
    </x:row>
    <x:row r="2">
      <x:c r="A2" s="90" t="n">
        <x:v>46023</x:v>
      </x:c>
      <x:c r="B2" s="14" t="str">
        <x:v>Mary, Mother of God</x:v>
      </x:c>
      <x:c r="C2" s="14" t="str">
        <x:v>⛪ Holy Day of Obligation — Mary, Mother of God</x:v>
      </x:c>
      <x:c r="D2" s="14" t="str"/>
      <x:c r="E2" s="14" t="str">
        <x:v>https://www.usccb.org/beliefs-and-teachings/what-we-believe/canon-law/complementary-norms/canon-1246</x:v>
      </x:c>
    </x:row>
    <x:row r="3">
      <x:c r="A3" s="90" t="n">
        <x:v>46159</x:v>
      </x:c>
      <x:c r="B3" s="14" t="str">
        <x:v>Ascension of the Lord</x:v>
      </x:c>
      <x:c r="C3" s="14" t="str">
        <x:v>⛪ Sunday Mass obligation</x:v>
      </x:c>
      <x:c r="D3" s="14" t="str">
        <x:v>Ascension timing varies by U.S. ecclesiastical province.</x:v>
      </x:c>
      <x:c r="E3" s="14" t="str">
        <x:v>https://www.usccb.org/resources/2026cal.pdf</x:v>
      </x:c>
    </x:row>
    <x:row r="4">
      <x:c r="A4" s="90" t="n">
        <x:v>46249</x:v>
      </x:c>
      <x:c r="B4" s="14" t="str">
        <x:v>Assumption</x:v>
      </x:c>
      <x:c r="C4" s="14" t="str">
        <x:v>Assumption — U.S. obligation abrogated because it falls Monday/Saturday</x:v>
      </x:c>
      <x:c r="D4" s="14" t="str"/>
      <x:c r="E4" s="14" t="str">
        <x:v>https://www.usccb.org/beliefs-and-teachings/what-we-believe/canon-law/complementary-norms/canon-1246</x:v>
      </x:c>
    </x:row>
    <x:row r="5">
      <x:c r="A5" s="90" t="n">
        <x:v>46327</x:v>
      </x:c>
      <x:c r="B5" s="14" t="str">
        <x:v>All Saints</x:v>
      </x:c>
      <x:c r="C5" s="14" t="str">
        <x:v>⛪ Sunday Mass obligation</x:v>
      </x:c>
      <x:c r="D5" s="14" t="str"/>
      <x:c r="E5" s="14" t="str">
        <x:v>https://www.usccb.org/beliefs-and-teachings/what-we-believe/canon-law/complementary-norms/canon-1246</x:v>
      </x:c>
    </x:row>
    <x:row r="6">
      <x:c r="A6" s="90" t="n">
        <x:v>46364</x:v>
      </x:c>
      <x:c r="B6" s="14" t="str">
        <x:v>Immaculate Conception</x:v>
      </x:c>
      <x:c r="C6" s="14" t="str">
        <x:v>⛪ Holy Day of Obligation — Immaculate Conception</x:v>
      </x:c>
      <x:c r="D6" s="14" t="str"/>
      <x:c r="E6" s="14" t="str">
        <x:v>https://www.usccb.org/beliefs-and-teachings/what-we-believe/canon-law/complementary-norms/canon-1246</x:v>
      </x:c>
    </x:row>
    <x:row r="7">
      <x:c r="A7" s="90" t="n">
        <x:v>46381</x:v>
      </x:c>
      <x:c r="B7" s="14" t="str">
        <x:v>Christmas</x:v>
      </x:c>
      <x:c r="C7" s="14" t="str">
        <x:v>⛪ Holy Day of Obligation — Christmas</x:v>
      </x:c>
      <x:c r="D7" s="14" t="str"/>
      <x:c r="E7" s="14" t="str">
        <x:v>https://www.usccb.org/beliefs-and-teachings/what-we-believe/canon-law/complementary-norms/canon-1246</x:v>
      </x:c>
    </x:row>
  </x:sheetData>
  <x:pageMargins left="0.7" right="0.7" top="0.75" bottom="0.75" header="0.3" footer="0.3"/>
  <x:tableParts count="1">
    <x:tablePart xmlns:r="http://schemas.openxmlformats.org/officeDocument/2006/relationships" r:id="R05968b132af5448f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34" hidden="0" customWidth="1"/>
    <x:col min="3" max="3" width="74" hidden="0" customWidth="1"/>
    <x:col min="4" max="4" width="62" hidden="0" customWidth="1"/>
  </x:cols>
  <x:sheetData>
    <x:row r="1">
      <x:c r="A1" s="105" t="str">
        <x:v>Source</x:v>
      </x:c>
      <x:c r="B1" s="105" t="str">
        <x:v>Authority / Type</x:v>
      </x:c>
      <x:c r="C1" s="105" t="str">
        <x:v>Used For</x:v>
      </x:c>
      <x:c r="D1" s="105" t="str">
        <x:v>URL</x:v>
      </x:c>
    </x:row>
    <x:row r="2">
      <x:c r="A2" s="14" t="str">
        <x:v>2026 Liturgical Calendar</x:v>
      </x:c>
      <x:c r="B2" s="14" t="str">
        <x:v>USCCB / official</x:v>
      </x:c>
      <x:c r="C2" s="14" t="str">
        <x:v>Official U.S. Roman Catholic calendar</x:v>
      </x:c>
      <x:c r="D2" s="14" t="str">
        <x:v>https://www.usccb.org/resources/2026cal.pdf</x:v>
      </x:c>
    </x:row>
    <x:row r="3">
      <x:c r="A3" s="14" t="str">
        <x:v>Liturgical Calendar hub</x:v>
      </x:c>
      <x:c r="B3" s="14" t="str">
        <x:v>USCCB / official</x:v>
      </x:c>
      <x:c r="C3" s="14" t="str">
        <x:v>Updates and annual calendars</x:v>
      </x:c>
      <x:c r="D3" s="14" t="str">
        <x:v>https://www.usccb.org/resources/liturgical-calendar-dioceses-united-states-america</x:v>
      </x:c>
    </x:row>
    <x:row r="4">
      <x:c r="A4" s="14" t="str">
        <x:v>Canon 1246 §2</x:v>
      </x:c>
      <x:c r="B4" s="14" t="str">
        <x:v>USCCB / official</x:v>
      </x:c>
      <x:c r="C4" s="14" t="str">
        <x:v>U.S. holy days of obligation</x:v>
      </x:c>
      <x:c r="D4" s="14" t="str">
        <x:v>https://www.usccb.org/beliefs-and-teachings/what-we-believe/canon-law/complementary-norms/canon-1246</x:v>
      </x:c>
    </x:row>
    <x:row r="5">
      <x:c r="A5" s="14" t="str">
        <x:v>Lenten Fast and Abstinence</x:v>
      </x:c>
      <x:c r="B5" s="14" t="str">
        <x:v>USCCB / official</x:v>
      </x:c>
      <x:c r="C5" s="14" t="str">
        <x:v>Fasting, abstinence, Friday penance</x:v>
      </x:c>
      <x:c r="D5" s="14" t="str">
        <x:v>https://www.usccb.org/prayer-and-worship/liturgical-year-and-calendar/lent/catholic-information-on-lenten-fast-and-abstinence</x:v>
      </x:c>
    </x:row>
    <x:row r="6">
      <x:c r="A6" s="14" t="str">
        <x:v>St. Joseph Novena</x:v>
      </x:c>
      <x:c r="B6" s="14" t="str">
        <x:v>USCCB / official devotional resource</x:v>
      </x:c>
      <x:c r="C6" s="14" t="str">
        <x:v>Annual March 10–18 novena</x:v>
      </x:c>
      <x:c r="D6" s="14" t="str">
        <x:v>https://www.usccb.org/prayer-and-worship/prayers-and-devotions/prayers/novena-for-the-solemnity-of-saint-joseph</x:v>
      </x:c>
    </x:row>
    <x:row r="7">
      <x:c r="A7" s="14" t="str">
        <x:v>Divinum illud munus</x:v>
      </x:c>
      <x:c r="B7" s="14" t="str">
        <x:v>Vatican / papal document</x:v>
      </x:c>
      <x:c r="C7" s="14" t="str">
        <x:v>Annual novena before Pentecost</x:v>
      </x:c>
      <x:c r="D7" s="14" t="str">
        <x:v>https://www.vatican.va/content/leo-xiii/en/encyclicals/documents/hf_l-xiii_enc_09051897_divinum-illud-munus.html</x:v>
      </x:c>
    </x:row>
    <x:row r="8">
      <x:c r="A8" s="14" t="str">
        <x:v>The Five Lents of Francis</x:v>
      </x:c>
      <x:c r="B8" s="14" t="str">
        <x:v>Franciscan scholarly/spiritual resource</x:v>
      </x:c>
      <x:c r="C8" s="14" t="str">
        <x:v>St. Michael's Lent and other Franciscan fasting periods</x:v>
      </x:c>
      <x:c r="D8" s="14" t="str">
        <x:v>https://www.franciscantradition.org/blog/the-five-lents-of-francis-vjkyuy/</x:v>
      </x:c>
    </x:row>
    <x:row r="9">
      <x:c r="A9" s="14" t="str">
        <x:v>Divine Mercy Novena</x:v>
      </x:c>
      <x:c r="B9" s="14" t="str">
        <x:v>Marian Fathers</x:v>
      </x:c>
      <x:c r="C9" s="14" t="str">
        <x:v>Good Friday start and nine-day sequence</x:v>
      </x:c>
      <x:c r="D9" s="14" t="str">
        <x:v>https://thedivinemercy.org/articles/pray-novena-divine-mercy-april-3-11</x:v>
      </x:c>
    </x:row>
    <x:row r="10">
      <x:c r="A10" s="14" t="str">
        <x:v>54-Day Rosary Novena</x:v>
      </x:c>
      <x:c r="B10" s="14" t="str">
        <x:v>Hallow devotional explainer</x:v>
      </x:c>
      <x:c r="C10" s="14" t="str">
        <x:v>54-day structure and practice</x:v>
      </x:c>
      <x:c r="D10" s="14" t="str">
        <x:v>https://hallow.com/blog/how-to-pray-54-day-novena/</x:v>
      </x:c>
    </x:row>
    <x:row r="11">
      <x:c r="A11" s="14" t="str">
        <x:v>O Antiphons</x:v>
      </x:c>
      <x:c r="B11" s="14" t="str">
        <x:v>USCCB / official prayer resource</x:v>
      </x:c>
      <x:c r="C11" s="14" t="str">
        <x:v>Dec. 17–23 Advent sequence</x:v>
      </x:c>
      <x:c r="D11" s="14" t="str">
        <x:v>https://www.usccb.org/prayers/o-antiphons-advent</x:v>
      </x:c>
    </x:row>
    <x:row r="12">
      <x:c r="A12" s="14" t="str">
        <x:v>Simbang Gabi resource</x:v>
      </x:c>
      <x:c r="B12" s="14" t="str">
        <x:v>USCCB-hosted diocesan resource</x:v>
      </x:c>
      <x:c r="C12" s="14" t="str">
        <x:v>Traditional Dec. 16–24 novena of Masses</x:v>
      </x:c>
      <x:c r="D12" s="14" t="str">
        <x:v>https://www.usccb.org/resources/Dio-of-San-Diego-Simbang-Gabi-Dec-2018.pdf</x:v>
      </x:c>
    </x:row>
    <x:row r="13">
      <x:c r="A13" s="14" t="str">
        <x:v>First Friday devotion</x:v>
      </x:c>
      <x:c r="B13" s="14" t="str">
        <x:v>EWTN / devotional</x:v>
      </x:c>
      <x:c r="C13" s="14" t="str">
        <x:v>Sacred Heart devotion</x:v>
      </x:c>
      <x:c r="D13" s="14" t="str">
        <x:v>https://www.ewtn.com/catholicism/library/first-friday-devotion-to-sacred-heart-4692</x:v>
      </x:c>
    </x:row>
    <x:row r="14">
      <x:c r="A14" s="14" t="str">
        <x:v>First Saturday devotion</x:v>
      </x:c>
      <x:c r="B14" s="14" t="str">
        <x:v>EWTN / devotional</x:v>
      </x:c>
      <x:c r="C14" s="14" t="str">
        <x:v>Immaculate Heart devotion</x:v>
      </x:c>
      <x:c r="D14" s="14" t="str">
        <x:v>https://www.ewtn.com/catholicism/library/revelation-of-the-immaculate-heart-at-fatima-in-1917-5465</x:v>
      </x:c>
    </x:row>
    <x:row r="15">
      <x:c r="A15" s="14" t="str">
        <x:v>Ember Days</x:v>
      </x:c>
      <x:c r="B15" s="14" t="str">
        <x:v>Catholic Encyclopedia / historical</x:v>
      </x:c>
      <x:c r="C15" s="14" t="str">
        <x:v>Historical quarterly observances</x:v>
      </x:c>
      <x:c r="D15" s="14" t="str">
        <x:v>https://www.newadvent.org/cathen/05399b.htm</x:v>
      </x:c>
    </x:row>
    <x:row r="16">
      <x:c r="A16" s="14" t="str">
        <x:v>Rogation Days</x:v>
      </x:c>
      <x:c r="B16" s="14" t="str">
        <x:v>Catholic Encyclopedia / historical</x:v>
      </x:c>
      <x:c r="C16" s="14" t="str">
        <x:v>Historical Rogation Days</x:v>
      </x:c>
      <x:c r="D16" s="14" t="str">
        <x:v>https://www.newadvent.org/cathen/13110b.htm</x:v>
      </x:c>
    </x:row>
    <x:row r="17">
      <x:c r="A17" s="14" t="str">
        <x:v>Septuagesima</x:v>
      </x:c>
      <x:c r="B17" s="14" t="str">
        <x:v>Catholic Encyclopedia / historical</x:v>
      </x:c>
      <x:c r="C17" s="14" t="str">
        <x:v>Historical Roman pre-Lent</x:v>
      </x:c>
      <x:c r="D17" s="14" t="str">
        <x:v>https://www.newadvent.org/cathen/13721b.htm</x:v>
      </x:c>
    </x:row>
    <x:row r="18">
      <x:c r="A18" s="14" t="str">
        <x:v>St. Martin's Lent</x:v>
      </x:c>
      <x:c r="B18" s="14" t="str">
        <x:v>Catholic Encyclopedia / historical</x:v>
      </x:c>
      <x:c r="C18" s="14" t="str">
        <x:v>Historical extended Advent fast</x:v>
      </x:c>
      <x:c r="D18" s="14" t="str">
        <x:v>https://www.newadvent.org/cathen/06394b.htm</x:v>
      </x:c>
    </x:row>
    <x:row r="19">
      <x:c r="A19" t="str">
        <x:v>St. Andrew Christmas Novena / Christmas Anticipation Prayer</x:v>
      </x:c>
      <x:c r="B19" t="str">
        <x:v>Hallow / devotional resource</x:v>
      </x:c>
      <x:c r="C19" t="str">
        <x:v>Popular Nov. 30–Dec. 24 Advent devotion</x:v>
      </x:c>
      <x:c r="D19" t="str">
        <x:v>https://hallow.com/blog/how-to-pray-the-st-andrew-christmas-novena/</x:v>
      </x:c>
    </x:row>
    <x:row r="20">
      <x:c r="A20" t="str">
        <x:v>USCCB Daily Readings</x:v>
      </x:c>
      <x:c r="B20" t="str">
        <x:v>USCCB / official</x:v>
      </x:c>
      <x:c r="C20" t="str">
        <x:v>Direct daily Mass reading pages linked from the Daily Calendar</x:v>
      </x:c>
      <x:c r="D20" t="str">
        <x:v>https://bible.usccb.org/bible/readings/</x:v>
      </x:c>
    </x:row>
    <x:row r="21">
      <x:c r="A21" t="str">
        <x:v>Liturgy of the Hours</x:v>
      </x:c>
      <x:c r="B21" t="str">
        <x:v>USCCB / official</x:v>
      </x:c>
      <x:c r="C21" t="str">
        <x:v>Structure and purpose of the Hours</x:v>
      </x:c>
      <x:c r="D21" t="str">
        <x:v>https://www.usccb.org/prayer-and-worship/liturgy-of-the-hours</x:v>
      </x:c>
    </x:row>
    <x:row r="22">
      <x:c r="A22" t="str">
        <x:v>Sacrosanctum Concilium, no. 89</x:v>
      </x:c>
      <x:c r="B22" t="str">
        <x:v>Vatican II / conciliar constitution</x:v>
      </x:c>
      <x:c r="C22" t="str">
        <x:v>Principal Hours, Office of Readings, Daytime Prayer, Night Prayer</x:v>
      </x:c>
      <x:c r="D22" t="str">
        <x:v>https://www.vatican.va/archive/hist_councils/ii_vatican_council/documents/vat-ii_const_19631204_sacrosanctum-concilium_en.html</x:v>
      </x:c>
    </x:row>
  </x:sheetData>
  <x:pageMargins left="0.7" right="0.7" top="0.75" bottom="0.75" header="0.3" footer="0.3"/>
  <x:tableParts count="1">
    <x:tablePart xmlns:r="http://schemas.openxmlformats.org/officeDocument/2006/relationships" r:id="Rb5f4cf0eb64847e2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5" hidden="0" customWidth="1"/>
    <x:col min="4" max="4" width="35" hidden="0" customWidth="1"/>
    <x:col min="5" max="5" width="15" hidden="0" customWidth="1"/>
    <x:col min="6" max="6" width="30" hidden="0" customWidth="1"/>
    <x:col min="7" max="7" width="24" hidden="0" customWidth="1"/>
    <x:col min="8" max="8" width="47" hidden="0" customWidth="1"/>
    <x:col min="9" max="9" width="45" hidden="0" customWidth="1"/>
    <x:col min="10" max="10" width="48" hidden="0" customWidth="1"/>
    <x:col min="11" max="11" width="52" hidden="0" customWidth="1"/>
    <x:col min="12" max="12" width="37" hidden="0" customWidth="1"/>
    <x:col min="13" max="13" width="60" hidden="0" customWidth="1"/>
  </x:cols>
  <x:sheetData>
    <x:row r="1">
      <x:c r="A1" s="122" t="str">
        <x:v>Liturgy of the Hours Navigator — 2026</x:v>
      </x:c>
      <x:c r="B1" s="122"/>
      <x:c r="C1" s="122"/>
      <x:c r="D1" s="122"/>
      <x:c r="E1" s="122"/>
      <x:c r="F1" s="122"/>
      <x:c r="G1" s="122"/>
      <x:c r="H1" s="122"/>
      <x:c r="I1" s="122"/>
      <x:c r="J1" s="122"/>
      <x:c r="K1" s="122"/>
      <x:c r="L1" s="122"/>
      <x:c r="M1" s="122"/>
    </x:row>
    <x:row r="3">
      <x:c r="A3" s="124" t="str">
        <x:v>How to use</x:v>
      </x:c>
      <x:c r="B3" s="14" t="str">
        <x:v>This tab tells you where to look in an approved Liturgy of the Hours edition; it does not reproduce the prayer texts.</x:v>
      </x:c>
      <x:c r="C3" s="14"/>
      <x:c r="D3" s="14" t="str">
        <x:v>Office of Readings</x:v>
      </x:c>
      <x:c r="E3" s="14" t="str">
        <x:v>May be prayed at any suitable time.</x:v>
      </x:c>
      <x:c r="F3" s="14"/>
      <x:c r="G3" s="14" t="str">
        <x:v>Morning Prayer</x:v>
      </x:c>
      <x:c r="H3" s="14" t="str">
        <x:v>Lauds — morning.</x:v>
      </x:c>
      <x:c r="I3" s="14"/>
      <x:c r="J3" s="14" t="str">
        <x:v>Daytime Prayer</x:v>
      </x:c>
      <x:c r="K3" s="14" t="str">
        <x:v>Outside choir, one may choose Midmorning (Terce), Midday (Sext), or Midafternoon (None).</x:v>
      </x:c>
      <x:c r="L3" s="14"/>
      <x:c r="M3" s="14"/>
    </x:row>
    <x:row r="4">
      <x:c r="A4" s="124" t="str">
        <x:v>Four-volume set</x:v>
      </x:c>
      <x:c r="B4" s="14" t="str">
        <x:v>The Volume column follows the official USCCB annual calendar.</x:v>
      </x:c>
      <x:c r="C4" s="14"/>
      <x:c r="D4" s="14" t="str">
        <x:v>Evening Prayer</x:v>
      </x:c>
      <x:c r="E4" s="14" t="str">
        <x:v>Vespers — evening; Sundays and solemnities ordinarily begin with First Vespers.</x:v>
      </x:c>
      <x:c r="F4" s="14"/>
      <x:c r="G4" s="14" t="str">
        <x:v>Night Prayer</x:v>
      </x:c>
      <x:c r="H4" s="14" t="str">
        <x:v>Compline — before retiring.</x:v>
      </x:c>
      <x:c r="I4" s="14"/>
      <x:c r="J4" s="14" t="str">
        <x:v>Edition note</x:v>
      </x:c>
      <x:c r="K4" s="14" t="str">
        <x:v>Page numbers differ by edition, so this navigator uses section names rather than page numbers.</x:v>
      </x:c>
      <x:c r="L4" s="14"/>
      <x:c r="M4" s="14"/>
    </x:row>
    <x:row r="5">
      <x:c r="A5" s="124" t="str">
        <x:v>Psalter / Proper</x:v>
      </x:c>
      <x:c r="B5" s="14" t="str">
        <x:v>'Psalter Week I–IV' means use the current four-week Psalter together with the Proper of Seasons. 'Proper/Common' means begin with the celebration's Proper and follow its directions to a Common.</x:v>
      </x:c>
      <x:c r="C5" s="14"/>
      <x:c r="D5" s="14" t="str">
        <x:v>Memorials</x:v>
      </x:c>
      <x:c r="E5" s="14" t="str">
        <x:v>Weekday psalmody ordinarily remains unless proper psalmody is given; use the Proper of Saints/Common as directed.</x:v>
      </x:c>
      <x:c r="F5" s="14"/>
      <x:c r="G5" s="14" t="str">
        <x:v>Feasts &amp; solemnities</x:v>
      </x:c>
      <x:c r="H5" s="14" t="str">
        <x:v>Use the Proper/Common for the celebration; solemnities normally have First Vespers.</x:v>
      </x:c>
      <x:c r="I5" s="14"/>
      <x:c r="J5" s="14" t="str">
        <x:v>Local note</x:v>
      </x:c>
      <x:c r="K5" s="14" t="str">
        <x:v>Particular calendars and local ordines can add or alter observances.</x:v>
      </x:c>
      <x:c r="L5" s="14"/>
      <x:c r="M5" s="14"/>
    </x:row>
    <x:row r="6">
      <x:c r="A6" s="124" t="str">
        <x:v>Sources</x:v>
      </x:c>
      <x:c r="B6" s="14" t="str">
        <x:v>https://www.usccb.org/resources/2026cal.pdf</x:v>
      </x:c>
      <x:c r="C6" s="14" t="str">
        <x:v>https://www.usccb.org/prayer-and-worship/liturgy-of-the-hours</x:v>
      </x:c>
      <x:c r="D6" s="14" t="str">
        <x:v>https://www.vatican.va/archive/hist_councils/ii_vatican_council/documents/vat-ii_const_19631204_sacrosanctum-concilium_en.html</x:v>
      </x:c>
      <x:c r="E6" s="14"/>
      <x:c r="F6" s="14"/>
      <x:c r="G6" s="14"/>
      <x:c r="H6" s="14"/>
      <x:c r="I6" s="14"/>
      <x:c r="J6" s="14"/>
      <x:c r="K6" s="14"/>
      <x:c r="L6" s="14"/>
      <x:c r="M6" s="14"/>
    </x:row>
    <x:row r="8">
      <x:c r="A8" s="129" t="str">
        <x:v>Date</x:v>
      </x:c>
      <x:c r="B8" s="129" t="str">
        <x:v>Day</x:v>
      </x:c>
      <x:c r="C8" s="129" t="str">
        <x:v>Season</x:v>
      </x:c>
      <x:c r="D8" s="129" t="str">
        <x:v>Celebration</x:v>
      </x:c>
      <x:c r="E8" s="129" t="str">
        <x:v>Rank</x:v>
      </x:c>
      <x:c r="F8" s="129" t="str">
        <x:v>LOTH Volume</x:v>
      </x:c>
      <x:c r="G8" s="129" t="str">
        <x:v>Psalter / Proper</x:v>
      </x:c>
      <x:c r="H8" s="129" t="str">
        <x:v>Office of Readings</x:v>
      </x:c>
      <x:c r="I8" s="129" t="str">
        <x:v>Morning Prayer</x:v>
      </x:c>
      <x:c r="J8" s="129" t="str">
        <x:v>Daytime Prayer</x:v>
      </x:c>
      <x:c r="K8" s="129" t="str">
        <x:v>Evening Prayer</x:v>
      </x:c>
      <x:c r="L8" s="129" t="str">
        <x:v>Night Prayer</x:v>
      </x:c>
      <x:c r="M8" s="129" t="str">
        <x:v>Navigation Note / Source</x:v>
      </x:c>
    </x:row>
    <x:row r="9">
      <x:c r="A9" s="40" t="n">
        <x:v>46023</x:v>
      </x:c>
      <x:c r="B9" s="41" t="str">
        <x:v>Thursday</x:v>
      </x:c>
      <x:c r="C9" s="130" t="str">
        <x:v>Christmas</x:v>
      </x:c>
      <x:c r="D9" s="131" t="str">
        <x:v>Mary, the Holy Mother of God</x:v>
      </x:c>
      <x:c r="E9" s="131" t="str">
        <x:v>Solemnity</x:v>
      </x:c>
      <x:c r="F9" s="131" t="str">
        <x:v>Vol. I — Advent &amp; Christmas</x:v>
      </x:c>
      <x:c r="G9" s="132" t="str">
        <x:v>Proper / Common</x:v>
      </x:c>
      <x:c r="H9" s="42" t="str">
        <x:v>Proper of Seasons/Saints → Solemnity; use Common only where the proper directs.</x:v>
      </x:c>
      <x:c r="I9" s="42" t="str">
        <x:v>Proper of Seasons/Saints → Morning Prayer of the solemnity.</x:v>
      </x:c>
      <x:c r="J9" s="42" t="str">
        <x:v>Daytime Prayer of the solemnity; use complementary psalmody if the rubric directs.</x:v>
      </x:c>
      <x:c r="K9" s="42" t="str">
        <x:v>Evening Prayer II of the solemnity (Proper/Common as directed).</x:v>
      </x:c>
      <x:c r="L9" s="42" t="str">
        <x:v>Night Prayer II of Sunday/Solemnity after Evening Prayer II.</x:v>
      </x:c>
      <x:c r="M9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0">
      <x:c r="A10" s="40" t="n">
        <x:v>46024</x:v>
      </x:c>
      <x:c r="B10" s="41" t="str">
        <x:v>Friday</x:v>
      </x:c>
      <x:c r="C10" s="130" t="str">
        <x:v>Christmas</x:v>
      </x:c>
      <x:c r="D10" s="41" t="str">
        <x:v>Saints Basil the Great and Gregory Nazianzen</x:v>
      </x:c>
      <x:c r="E10" s="41" t="str">
        <x:v>Memorial</x:v>
      </x:c>
      <x:c r="F10" s="41" t="str">
        <x:v>Vol. I — Advent &amp; Christmas</x:v>
      </x:c>
      <x:c r="G10" s="42" t="str">
        <x:v>Proper — Christmas</x:v>
      </x:c>
      <x:c r="H10" s="42" t="str">
        <x:v>Proper — Christmas; Proper of Saints for the saint's proper reading/prayer; Common where directed.</x:v>
      </x:c>
      <x:c r="I10" s="42" t="str">
        <x:v>Proper — Christmas; Morning Prayer with Proper of Saints/Common elements as directed.</x:v>
      </x:c>
      <x:c r="J10" s="42" t="str">
        <x:v>Proper — Christmas; Daytime Prayer of the season; use the memorial's concluding prayer where directed.</x:v>
      </x:c>
      <x:c r="K10" s="42" t="str">
        <x:v>Proper — Christmas; Evening Prayer with Proper of Saints/Common elements as directed.</x:v>
      </x:c>
      <x:c r="L10" s="42" t="str">
        <x:v>Night Prayer for Friday.</x:v>
      </x:c>
      <x:c r="M10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1">
      <x:c r="A11" s="40" t="n">
        <x:v>46025</x:v>
      </x:c>
      <x:c r="B11" s="41" t="str">
        <x:v>Saturday</x:v>
      </x:c>
      <x:c r="C11" s="130" t="str">
        <x:v>Christmas</x:v>
      </x:c>
      <x:c r="D11" s="41" t="str">
        <x:v>Christmas Weekday</x:v>
      </x:c>
      <x:c r="E11" s="41" t="str">
        <x:v>Weekday</x:v>
      </x:c>
      <x:c r="F11" s="41" t="str">
        <x:v>Vol. I — Advent &amp; Christmas</x:v>
      </x:c>
      <x:c r="G11" s="42" t="str">
        <x:v>Proper — Christmas</x:v>
      </x:c>
      <x:c r="H11" s="42" t="str">
        <x:v>Proper of Seasons + Proper — Christmas; weekday Office of Readings. Optional memorial may be inserted from the Proper of Saints if chosen.</x:v>
      </x:c>
      <x:c r="I11" s="42" t="str">
        <x:v>Proper of Seasons + Proper — Christmas; weekday Morning Prayer. Optional memorial may be inserted from the Proper of Saints if chosen.</x:v>
      </x:c>
      <x:c r="J11" s="42" t="str">
        <x:v>Proper of Seasons + Proper — Christmas; choose Midmorning, Midday, or Midafternoon Prayer.</x:v>
      </x:c>
      <x:c r="K11" s="42" t="str">
        <x:v>First Vespers of tomorrow's solemnity: Epiphany of the Lord — Proper/Common as directed.</x:v>
      </x:c>
      <x:c r="L11" s="42" t="str">
        <x:v>Night Prayer I of Sunday/Solemnity after First Vespers.</x:v>
      </x:c>
      <x:c r="M11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2">
      <x:c r="A12" s="40" t="n">
        <x:v>46026</x:v>
      </x:c>
      <x:c r="B12" s="41" t="str">
        <x:v>Sunday</x:v>
      </x:c>
      <x:c r="C12" s="130" t="str">
        <x:v>Christmas</x:v>
      </x:c>
      <x:c r="D12" s="131" t="str">
        <x:v>Epiphany of the Lord</x:v>
      </x:c>
      <x:c r="E12" s="131" t="str">
        <x:v>Solemnity</x:v>
      </x:c>
      <x:c r="F12" s="131" t="str">
        <x:v>Vol. I — Advent &amp; Christmas</x:v>
      </x:c>
      <x:c r="G12" s="132" t="str">
        <x:v>Proper / Common</x:v>
      </x:c>
      <x:c r="H12" s="42" t="str">
        <x:v>Proper of Seasons/Saints → Solemnity; use Common only where the proper directs.</x:v>
      </x:c>
      <x:c r="I12" s="42" t="str">
        <x:v>Proper of Seasons/Saints → Morning Prayer of the solemnity.</x:v>
      </x:c>
      <x:c r="J12" s="42" t="str">
        <x:v>Daytime Prayer of the solemnity; use complementary psalmody if the rubric directs.</x:v>
      </x:c>
      <x:c r="K12" s="42" t="str">
        <x:v>Evening Prayer II of the solemnity (Proper/Common as directed).</x:v>
      </x:c>
      <x:c r="L12" s="42" t="str">
        <x:v>Night Prayer II of Sunday/Solemnity after Evening Prayer II.</x:v>
      </x:c>
      <x:c r="M12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3">
      <x:c r="A13" s="40" t="n">
        <x:v>46027</x:v>
      </x:c>
      <x:c r="B13" s="41" t="str">
        <x:v>Monday</x:v>
      </x:c>
      <x:c r="C13" s="130" t="str">
        <x:v>Christmas</x:v>
      </x:c>
      <x:c r="D13" s="41" t="str">
        <x:v>Saint John Neumann</x:v>
      </x:c>
      <x:c r="E13" s="41" t="str">
        <x:v>Memorial</x:v>
      </x:c>
      <x:c r="F13" s="41" t="str">
        <x:v>Vol. I — Advent &amp; Christmas</x:v>
      </x:c>
      <x:c r="G13" s="42" t="str">
        <x:v>Proper — Christmas</x:v>
      </x:c>
      <x:c r="H13" s="42" t="str">
        <x:v>Proper — Christmas; Proper of Saints for the saint's proper reading/prayer; Common where directed.</x:v>
      </x:c>
      <x:c r="I13" s="42" t="str">
        <x:v>Proper — Christmas; Morning Prayer with Proper of Saints/Common elements as directed.</x:v>
      </x:c>
      <x:c r="J13" s="42" t="str">
        <x:v>Proper — Christmas; Daytime Prayer of the season; use the memorial's concluding prayer where directed.</x:v>
      </x:c>
      <x:c r="K13" s="42" t="str">
        <x:v>Proper — Christmas; Evening Prayer with Proper of Saints/Common elements as directed.</x:v>
      </x:c>
      <x:c r="L13" s="42" t="str">
        <x:v>Night Prayer for Monday.</x:v>
      </x:c>
      <x:c r="M13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4">
      <x:c r="A14" s="40" t="n">
        <x:v>46028</x:v>
      </x:c>
      <x:c r="B14" s="41" t="str">
        <x:v>Tuesday</x:v>
      </x:c>
      <x:c r="C14" s="130" t="str">
        <x:v>Christmas</x:v>
      </x:c>
      <x:c r="D14" s="41" t="str">
        <x:v>Christmas Weekday</x:v>
      </x:c>
      <x:c r="E14" s="41" t="str">
        <x:v>Weekday</x:v>
      </x:c>
      <x:c r="F14" s="41" t="str">
        <x:v>Vol. I — Advent &amp; Christmas</x:v>
      </x:c>
      <x:c r="G14" s="42" t="str">
        <x:v>Proper — Christmas</x:v>
      </x:c>
      <x:c r="H14" s="42" t="str">
        <x:v>Proper of Seasons + Proper — Christmas; weekday Office of Readings. Optional memorial may be inserted from the Proper of Saints if chosen.</x:v>
      </x:c>
      <x:c r="I14" s="42" t="str">
        <x:v>Proper of Seasons + Proper — Christmas; weekday Morning Prayer. Optional memorial may be inserted from the Proper of Saints if chosen.</x:v>
      </x:c>
      <x:c r="J14" s="42" t="str">
        <x:v>Proper of Seasons + Proper — Christmas; choose Midmorning, Midday, or Midafternoon Prayer.</x:v>
      </x:c>
      <x:c r="K14" s="42" t="str">
        <x:v>Proper of Seasons + Proper — Christmas; weekday Evening Prayer. Optional memorial may be inserted from the Proper of Saints if chosen.</x:v>
      </x:c>
      <x:c r="L14" s="42" t="str">
        <x:v>Night Prayer for Tuesday.</x:v>
      </x:c>
      <x:c r="M1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5">
      <x:c r="A15" s="40" t="n">
        <x:v>46029</x:v>
      </x:c>
      <x:c r="B15" s="41" t="str">
        <x:v>Wednesday</x:v>
      </x:c>
      <x:c r="C15" s="130" t="str">
        <x:v>Christmas</x:v>
      </x:c>
      <x:c r="D15" s="41" t="str">
        <x:v>Christmas Weekday</x:v>
      </x:c>
      <x:c r="E15" s="41" t="str">
        <x:v>Weekday</x:v>
      </x:c>
      <x:c r="F15" s="41" t="str">
        <x:v>Vol. I — Advent &amp; Christmas</x:v>
      </x:c>
      <x:c r="G15" s="42" t="str">
        <x:v>Proper — Christmas</x:v>
      </x:c>
      <x:c r="H15" s="42" t="str">
        <x:v>Proper of Seasons + Proper — Christmas; weekday Office of Readings. Optional memorial may be inserted from the Proper of Saints if chosen.</x:v>
      </x:c>
      <x:c r="I15" s="42" t="str">
        <x:v>Proper of Seasons + Proper — Christmas; weekday Morning Prayer. Optional memorial may be inserted from the Proper of Saints if chosen.</x:v>
      </x:c>
      <x:c r="J15" s="42" t="str">
        <x:v>Proper of Seasons + Proper — Christmas; choose Midmorning, Midday, or Midafternoon Prayer.</x:v>
      </x:c>
      <x:c r="K15" s="42" t="str">
        <x:v>Proper of Seasons + Proper — Christmas; weekday Evening Prayer. Optional memorial may be inserted from the Proper of Saints if chosen.</x:v>
      </x:c>
      <x:c r="L15" s="42" t="str">
        <x:v>Night Prayer for Wednesday.</x:v>
      </x:c>
      <x:c r="M1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6">
      <x:c r="A16" s="40" t="n">
        <x:v>46030</x:v>
      </x:c>
      <x:c r="B16" s="41" t="str">
        <x:v>Thursday</x:v>
      </x:c>
      <x:c r="C16" s="130" t="str">
        <x:v>Christmas</x:v>
      </x:c>
      <x:c r="D16" s="41" t="str">
        <x:v>Christmas Weekday</x:v>
      </x:c>
      <x:c r="E16" s="41" t="str">
        <x:v>Weekday</x:v>
      </x:c>
      <x:c r="F16" s="41" t="str">
        <x:v>Vol. I — Advent &amp; Christmas</x:v>
      </x:c>
      <x:c r="G16" s="42" t="str">
        <x:v>Proper — Christmas</x:v>
      </x:c>
      <x:c r="H16" s="42" t="str">
        <x:v>Proper of Seasons + Proper — Christmas; weekday Office of Readings.</x:v>
      </x:c>
      <x:c r="I16" s="42" t="str">
        <x:v>Proper of Seasons + Proper — Christmas; weekday Morning Prayer.</x:v>
      </x:c>
      <x:c r="J16" s="42" t="str">
        <x:v>Proper of Seasons + Proper — Christmas; choose Midmorning, Midday, or Midafternoon Prayer.</x:v>
      </x:c>
      <x:c r="K16" s="42" t="str">
        <x:v>Proper of Seasons + Proper — Christmas; weekday Evening Prayer.</x:v>
      </x:c>
      <x:c r="L16" s="42" t="str">
        <x:v>Night Prayer for Thursday.</x:v>
      </x:c>
      <x:c r="M1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7">
      <x:c r="A17" s="40" t="n">
        <x:v>46031</x:v>
      </x:c>
      <x:c r="B17" s="41" t="str">
        <x:v>Friday</x:v>
      </x:c>
      <x:c r="C17" s="130" t="str">
        <x:v>Christmas</x:v>
      </x:c>
      <x:c r="D17" s="41" t="str">
        <x:v>Christmas Weekday</x:v>
      </x:c>
      <x:c r="E17" s="41" t="str">
        <x:v>Weekday</x:v>
      </x:c>
      <x:c r="F17" s="41" t="str">
        <x:v>Vol. I — Advent &amp; Christmas</x:v>
      </x:c>
      <x:c r="G17" s="42" t="str">
        <x:v>Proper — Christmas</x:v>
      </x:c>
      <x:c r="H17" s="42" t="str">
        <x:v>Proper of Seasons + Proper — Christmas; weekday Office of Readings.</x:v>
      </x:c>
      <x:c r="I17" s="42" t="str">
        <x:v>Proper of Seasons + Proper — Christmas; weekday Morning Prayer.</x:v>
      </x:c>
      <x:c r="J17" s="42" t="str">
        <x:v>Proper of Seasons + Proper — Christmas; choose Midmorning, Midday, or Midafternoon Prayer.</x:v>
      </x:c>
      <x:c r="K17" s="42" t="str">
        <x:v>Proper of Seasons + Proper — Christmas; weekday Evening Prayer.</x:v>
      </x:c>
      <x:c r="L17" s="42" t="str">
        <x:v>Night Prayer for Friday.</x:v>
      </x:c>
      <x:c r="M1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8">
      <x:c r="A18" s="40" t="n">
        <x:v>46032</x:v>
      </x:c>
      <x:c r="B18" s="41" t="str">
        <x:v>Saturday</x:v>
      </x:c>
      <x:c r="C18" s="130" t="str">
        <x:v>Christmas</x:v>
      </x:c>
      <x:c r="D18" s="41" t="str">
        <x:v>Christmas Weekday</x:v>
      </x:c>
      <x:c r="E18" s="41" t="str">
        <x:v>Weekday</x:v>
      </x:c>
      <x:c r="F18" s="41" t="str">
        <x:v>Vol. I — Advent &amp; Christmas</x:v>
      </x:c>
      <x:c r="G18" s="42" t="str">
        <x:v>Proper — Christmas</x:v>
      </x:c>
      <x:c r="H18" s="42" t="str">
        <x:v>Proper of Seasons + Proper — Christmas; weekday Office of Readings.</x:v>
      </x:c>
      <x:c r="I18" s="42" t="str">
        <x:v>Proper of Seasons + Proper — Christmas; weekday Morning Prayer.</x:v>
      </x:c>
      <x:c r="J18" s="42" t="str">
        <x:v>Proper of Seasons + Proper — Christmas; choose Midmorning, Midday, or Midafternoon Prayer.</x:v>
      </x:c>
      <x:c r="K18" s="42" t="str">
        <x:v>First Vespers of Sunday: Baptism of the Lord — Proper of Seasons + tomorrow's Psalter week.</x:v>
      </x:c>
      <x:c r="L18" s="42" t="str">
        <x:v>Night Prayer I of Sunday after First Vespers.</x:v>
      </x:c>
      <x:c r="M18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9">
      <x:c r="A19" s="40" t="n">
        <x:v>46033</x:v>
      </x:c>
      <x:c r="B19" s="41" t="str">
        <x:v>Sunday</x:v>
      </x:c>
      <x:c r="C19" s="130" t="str">
        <x:v>Christmas</x:v>
      </x:c>
      <x:c r="D19" s="131" t="str">
        <x:v>Baptism of the Lord</x:v>
      </x:c>
      <x:c r="E19" s="131" t="str">
        <x:v>Feast</x:v>
      </x:c>
      <x:c r="F19" s="131" t="str">
        <x:v>Vol. I — Advent &amp; Christmas</x:v>
      </x:c>
      <x:c r="G19" s="132" t="str">
        <x:v>Proper / Common</x:v>
      </x:c>
      <x:c r="H19" s="42" t="str">
        <x:v>Proper of Seasons/Saints → Feast; use Common where directed.</x:v>
      </x:c>
      <x:c r="I19" s="42" t="str">
        <x:v>Proper of the Feast/Common as directed; use feast psalmody where provided.</x:v>
      </x:c>
      <x:c r="J19" s="42" t="str">
        <x:v>Proper / Common; Daytime Prayer of the season, with the feast's proper elements where directed.</x:v>
      </x:c>
      <x:c r="K19" s="42" t="str">
        <x:v>Proper of the Feast/Common as directed for Evening Prayer.</x:v>
      </x:c>
      <x:c r="L19" s="42" t="str">
        <x:v>Night Prayer for Sunday.</x:v>
      </x:c>
      <x:c r="M19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0">
      <x:c r="A20" s="40" t="n">
        <x:v>46034</x:v>
      </x:c>
      <x:c r="B20" s="41" t="str">
        <x:v>Monday</x:v>
      </x:c>
      <x:c r="C20" s="133" t="str">
        <x:v>Ordinary Time</x:v>
      </x:c>
      <x:c r="D20" s="41" t="str">
        <x:v>Weekday in Ordinary Time</x:v>
      </x:c>
      <x:c r="E20" s="41" t="str">
        <x:v>Weekday</x:v>
      </x:c>
      <x:c r="F20" s="41" t="str">
        <x:v>Vol. III — Ordinary Time</x:v>
      </x:c>
      <x:c r="G20" s="42" t="str">
        <x:v>Psalter Week I (OT Week 1)</x:v>
      </x:c>
      <x:c r="H20" s="42" t="str">
        <x:v>Proper of Seasons + Psalter Week I (OT Week 1); weekday Office of Readings.</x:v>
      </x:c>
      <x:c r="I20" s="42" t="str">
        <x:v>Proper of Seasons + Psalter Week I (OT Week 1); weekday Morning Prayer.</x:v>
      </x:c>
      <x:c r="J20" s="42" t="str">
        <x:v>Proper of Seasons + Psalter Week I (OT Week 1); choose Midmorning, Midday, or Midafternoon Prayer.</x:v>
      </x:c>
      <x:c r="K20" s="42" t="str">
        <x:v>Proper of Seasons + Psalter Week I (OT Week 1); weekday Evening Prayer.</x:v>
      </x:c>
      <x:c r="L20" s="42" t="str">
        <x:v>Night Prayer for Monday.</x:v>
      </x:c>
      <x:c r="M2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1">
      <x:c r="A21" s="40" t="n">
        <x:v>46035</x:v>
      </x:c>
      <x:c r="B21" s="41" t="str">
        <x:v>Tuesday</x:v>
      </x:c>
      <x:c r="C21" s="133" t="str">
        <x:v>Ordinary Time</x:v>
      </x:c>
      <x:c r="D21" s="41" t="str">
        <x:v>Weekday in Ordinary Time</x:v>
      </x:c>
      <x:c r="E21" s="41" t="str">
        <x:v>Weekday</x:v>
      </x:c>
      <x:c r="F21" s="41" t="str">
        <x:v>Vol. III — Ordinary Time</x:v>
      </x:c>
      <x:c r="G21" s="42" t="str">
        <x:v>Psalter Week I (OT Week 1)</x:v>
      </x:c>
      <x:c r="H21" s="42" t="str">
        <x:v>Proper of Seasons + Psalter Week I (OT Week 1); weekday Office of Readings. Optional memorial may be inserted from the Proper of Saints if chosen.</x:v>
      </x:c>
      <x:c r="I21" s="42" t="str">
        <x:v>Proper of Seasons + Psalter Week I (OT Week 1); weekday Morning Prayer. Optional memorial may be inserted from the Proper of Saints if chosen.</x:v>
      </x:c>
      <x:c r="J21" s="42" t="str">
        <x:v>Proper of Seasons + Psalter Week I (OT Week 1); choose Midmorning, Midday, or Midafternoon Prayer.</x:v>
      </x:c>
      <x:c r="K21" s="42" t="str">
        <x:v>Proper of Seasons + Psalter Week I (OT Week 1); weekday Evening Prayer. Optional memorial may be inserted from the Proper of Saints if chosen.</x:v>
      </x:c>
      <x:c r="L21" s="42" t="str">
        <x:v>Night Prayer for Tuesday.</x:v>
      </x:c>
      <x:c r="M2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2">
      <x:c r="A22" s="40" t="n">
        <x:v>46036</x:v>
      </x:c>
      <x:c r="B22" s="41" t="str">
        <x:v>Wednesday</x:v>
      </x:c>
      <x:c r="C22" s="133" t="str">
        <x:v>Ordinary Time</x:v>
      </x:c>
      <x:c r="D22" s="41" t="str">
        <x:v>Weekday in Ordinary Time</x:v>
      </x:c>
      <x:c r="E22" s="41" t="str">
        <x:v>Weekday</x:v>
      </x:c>
      <x:c r="F22" s="41" t="str">
        <x:v>Vol. III — Ordinary Time</x:v>
      </x:c>
      <x:c r="G22" s="42" t="str">
        <x:v>Psalter Week I (OT Week 1)</x:v>
      </x:c>
      <x:c r="H22" s="42" t="str">
        <x:v>Proper of Seasons + Psalter Week I (OT Week 1); weekday Office of Readings.</x:v>
      </x:c>
      <x:c r="I22" s="42" t="str">
        <x:v>Proper of Seasons + Psalter Week I (OT Week 1); weekday Morning Prayer.</x:v>
      </x:c>
      <x:c r="J22" s="42" t="str">
        <x:v>Proper of Seasons + Psalter Week I (OT Week 1); choose Midmorning, Midday, or Midafternoon Prayer.</x:v>
      </x:c>
      <x:c r="K22" s="42" t="str">
        <x:v>Proper of Seasons + Psalter Week I (OT Week 1); weekday Evening Prayer.</x:v>
      </x:c>
      <x:c r="L22" s="42" t="str">
        <x:v>Night Prayer for Wednesday.</x:v>
      </x:c>
      <x:c r="M2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3">
      <x:c r="A23" s="40" t="n">
        <x:v>46037</x:v>
      </x:c>
      <x:c r="B23" s="41" t="str">
        <x:v>Thursday</x:v>
      </x:c>
      <x:c r="C23" s="133" t="str">
        <x:v>Ordinary Time</x:v>
      </x:c>
      <x:c r="D23" s="41" t="str">
        <x:v>Weekday in Ordinary Time</x:v>
      </x:c>
      <x:c r="E23" s="41" t="str">
        <x:v>Weekday</x:v>
      </x:c>
      <x:c r="F23" s="41" t="str">
        <x:v>Vol. III — Ordinary Time</x:v>
      </x:c>
      <x:c r="G23" s="42" t="str">
        <x:v>Psalter Week I (OT Week 1)</x:v>
      </x:c>
      <x:c r="H23" s="42" t="str">
        <x:v>Proper of Seasons + Psalter Week I (OT Week 1); weekday Office of Readings.</x:v>
      </x:c>
      <x:c r="I23" s="42" t="str">
        <x:v>Proper of Seasons + Psalter Week I (OT Week 1); weekday Morning Prayer.</x:v>
      </x:c>
      <x:c r="J23" s="42" t="str">
        <x:v>Proper of Seasons + Psalter Week I (OT Week 1); choose Midmorning, Midday, or Midafternoon Prayer.</x:v>
      </x:c>
      <x:c r="K23" s="42" t="str">
        <x:v>Proper of Seasons + Psalter Week I (OT Week 1); weekday Evening Prayer.</x:v>
      </x:c>
      <x:c r="L23" s="42" t="str">
        <x:v>Night Prayer for Thursday.</x:v>
      </x:c>
      <x:c r="M2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4">
      <x:c r="A24" s="40" t="n">
        <x:v>46038</x:v>
      </x:c>
      <x:c r="B24" s="41" t="str">
        <x:v>Friday</x:v>
      </x:c>
      <x:c r="C24" s="133" t="str">
        <x:v>Ordinary Time</x:v>
      </x:c>
      <x:c r="D24" s="41" t="str">
        <x:v>Weekday in Ordinary Time</x:v>
      </x:c>
      <x:c r="E24" s="41" t="str">
        <x:v>Weekday</x:v>
      </x:c>
      <x:c r="F24" s="41" t="str">
        <x:v>Vol. III — Ordinary Time</x:v>
      </x:c>
      <x:c r="G24" s="42" t="str">
        <x:v>Psalter Week I (OT Week 1)</x:v>
      </x:c>
      <x:c r="H24" s="42" t="str">
        <x:v>Proper of Seasons + Psalter Week I (OT Week 1); weekday Office of Readings.</x:v>
      </x:c>
      <x:c r="I24" s="42" t="str">
        <x:v>Proper of Seasons + Psalter Week I (OT Week 1); weekday Morning Prayer.</x:v>
      </x:c>
      <x:c r="J24" s="42" t="str">
        <x:v>Proper of Seasons + Psalter Week I (OT Week 1); choose Midmorning, Midday, or Midafternoon Prayer.</x:v>
      </x:c>
      <x:c r="K24" s="42" t="str">
        <x:v>Proper of Seasons + Psalter Week I (OT Week 1); weekday Evening Prayer.</x:v>
      </x:c>
      <x:c r="L24" s="42" t="str">
        <x:v>Night Prayer for Friday.</x:v>
      </x:c>
      <x:c r="M2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5">
      <x:c r="A25" s="40" t="n">
        <x:v>46039</x:v>
      </x:c>
      <x:c r="B25" s="41" t="str">
        <x:v>Saturday</x:v>
      </x:c>
      <x:c r="C25" s="133" t="str">
        <x:v>Ordinary Time</x:v>
      </x:c>
      <x:c r="D25" s="41" t="str">
        <x:v>Saint Anthony, Abbot</x:v>
      </x:c>
      <x:c r="E25" s="41" t="str">
        <x:v>Memorial</x:v>
      </x:c>
      <x:c r="F25" s="41" t="str">
        <x:v>Vol. III — Ordinary Time</x:v>
      </x:c>
      <x:c r="G25" s="42" t="str">
        <x:v>Psalter Week I (OT Week 1)</x:v>
      </x:c>
      <x:c r="H25" s="42" t="str">
        <x:v>Psalter Week I (OT Week 1); Proper of Saints for the saint's proper reading/prayer; Common where directed.</x:v>
      </x:c>
      <x:c r="I25" s="42" t="str">
        <x:v>Psalter Week I (OT Week 1); Morning Prayer with Proper of Saints/Common elements as directed.</x:v>
      </x:c>
      <x:c r="J25" s="42" t="str">
        <x:v>Psalter Week I (OT Week 1); Daytime Prayer of the season; use the memorial's concluding prayer where directed.</x:v>
      </x:c>
      <x:c r="K25" s="42" t="str">
        <x:v>First Vespers of Sunday: Second Sunday in Ordinary Time — Proper of Seasons + tomorrow's Psalter week.</x:v>
      </x:c>
      <x:c r="L25" s="42" t="str">
        <x:v>Night Prayer I of Sunday after First Vespers.</x:v>
      </x:c>
      <x:c r="M25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6">
      <x:c r="A26" s="40" t="n">
        <x:v>46040</x:v>
      </x:c>
      <x:c r="B26" s="41" t="str">
        <x:v>Sunday</x:v>
      </x:c>
      <x:c r="C26" s="133" t="str">
        <x:v>Ordinary Time</x:v>
      </x:c>
      <x:c r="D26" s="41" t="str">
        <x:v>Second Sunday in Ordinary Time</x:v>
      </x:c>
      <x:c r="E26" s="41" t="str">
        <x:v>Sunday</x:v>
      </x:c>
      <x:c r="F26" s="41" t="str">
        <x:v>Vol. III — Ordinary Time</x:v>
      </x:c>
      <x:c r="G26" s="42" t="str">
        <x:v>Psalter Week II (OT Week 2)</x:v>
      </x:c>
      <x:c r="H26" s="42" t="str">
        <x:v>Proper of Seasons + Psalter Week II (OT Week 2); Office of Readings for Sunday.</x:v>
      </x:c>
      <x:c r="I26" s="42" t="str">
        <x:v>Proper of Seasons + Psalter Week II (OT Week 2); Morning Prayer for Sunday.</x:v>
      </x:c>
      <x:c r="J26" s="42" t="str">
        <x:v>Psalter Week II (OT Week 2); Sunday Daytime Prayer + seasonal proper.</x:v>
      </x:c>
      <x:c r="K26" s="42" t="str">
        <x:v>Evening Prayer II of Sunday — Proper of Seasons + Psalter Week II (OT Week 2).</x:v>
      </x:c>
      <x:c r="L26" s="42" t="str">
        <x:v>Night Prayer II of Sunday.</x:v>
      </x:c>
      <x:c r="M26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7">
      <x:c r="A27" s="40" t="n">
        <x:v>46041</x:v>
      </x:c>
      <x:c r="B27" s="41" t="str">
        <x:v>Monday</x:v>
      </x:c>
      <x:c r="C27" s="133" t="str">
        <x:v>Ordinary Time</x:v>
      </x:c>
      <x:c r="D27" s="41" t="str">
        <x:v>Weekday in Ordinary Time</x:v>
      </x:c>
      <x:c r="E27" s="41" t="str">
        <x:v>Weekday</x:v>
      </x:c>
      <x:c r="F27" s="41" t="str">
        <x:v>Vol. III — Ordinary Time</x:v>
      </x:c>
      <x:c r="G27" s="42" t="str">
        <x:v>Psalter Week II (OT Week 2)</x:v>
      </x:c>
      <x:c r="H27" s="42" t="str">
        <x:v>Proper of Seasons + Psalter Week II (OT Week 2); weekday Office of Readings.</x:v>
      </x:c>
      <x:c r="I27" s="42" t="str">
        <x:v>Proper of Seasons + Psalter Week II (OT Week 2); weekday Morning Prayer.</x:v>
      </x:c>
      <x:c r="J27" s="42" t="str">
        <x:v>Proper of Seasons + Psalter Week II (OT Week 2); choose Midmorning, Midday, or Midafternoon Prayer.</x:v>
      </x:c>
      <x:c r="K27" s="42" t="str">
        <x:v>Proper of Seasons + Psalter Week II (OT Week 2); weekday Evening Prayer.</x:v>
      </x:c>
      <x:c r="L27" s="42" t="str">
        <x:v>Night Prayer for Monday.</x:v>
      </x:c>
      <x:c r="M2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8">
      <x:c r="A28" s="40" t="n">
        <x:v>46042</x:v>
      </x:c>
      <x:c r="B28" s="41" t="str">
        <x:v>Tuesday</x:v>
      </x:c>
      <x:c r="C28" s="133" t="str">
        <x:v>Ordinary Time</x:v>
      </x:c>
      <x:c r="D28" s="41" t="str">
        <x:v>Weekday in Ordinary Time</x:v>
      </x:c>
      <x:c r="E28" s="41" t="str">
        <x:v>Weekday</x:v>
      </x:c>
      <x:c r="F28" s="41" t="str">
        <x:v>Vol. III — Ordinary Time</x:v>
      </x:c>
      <x:c r="G28" s="42" t="str">
        <x:v>Psalter Week II (OT Week 2)</x:v>
      </x:c>
      <x:c r="H28" s="42" t="str">
        <x:v>Proper of Seasons + Psalter Week II (OT Week 2); weekday Office of Readings. Optional memorial may be inserted from the Proper of Saints if chosen.</x:v>
      </x:c>
      <x:c r="I28" s="42" t="str">
        <x:v>Proper of Seasons + Psalter Week II (OT Week 2); weekday Morning Prayer. Optional memorial may be inserted from the Proper of Saints if chosen.</x:v>
      </x:c>
      <x:c r="J28" s="42" t="str">
        <x:v>Proper of Seasons + Psalter Week II (OT Week 2); choose Midmorning, Midday, or Midafternoon Prayer.</x:v>
      </x:c>
      <x:c r="K28" s="42" t="str">
        <x:v>Proper of Seasons + Psalter Week II (OT Week 2); weekday Evening Prayer. Optional memorial may be inserted from the Proper of Saints if chosen.</x:v>
      </x:c>
      <x:c r="L28" s="42" t="str">
        <x:v>Night Prayer for Tuesday.</x:v>
      </x:c>
      <x:c r="M2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9">
      <x:c r="A29" s="40" t="n">
        <x:v>46043</x:v>
      </x:c>
      <x:c r="B29" s="41" t="str">
        <x:v>Wednesday</x:v>
      </x:c>
      <x:c r="C29" s="133" t="str">
        <x:v>Ordinary Time</x:v>
      </x:c>
      <x:c r="D29" s="41" t="str">
        <x:v>Saint Agnes</x:v>
      </x:c>
      <x:c r="E29" s="41" t="str">
        <x:v>Memorial</x:v>
      </x:c>
      <x:c r="F29" s="41" t="str">
        <x:v>Vol. III — Ordinary Time</x:v>
      </x:c>
      <x:c r="G29" s="42" t="str">
        <x:v>Psalter Week II (OT Week 2)</x:v>
      </x:c>
      <x:c r="H29" s="42" t="str">
        <x:v>Psalter Week II (OT Week 2); Proper of Saints for the saint's proper reading/prayer; Common where directed.</x:v>
      </x:c>
      <x:c r="I29" s="42" t="str">
        <x:v>Psalter Week II (OT Week 2); Morning Prayer with Proper of Saints/Common elements as directed.</x:v>
      </x:c>
      <x:c r="J29" s="42" t="str">
        <x:v>Psalter Week II (OT Week 2); Daytime Prayer of the season; use the memorial's concluding prayer where directed.</x:v>
      </x:c>
      <x:c r="K29" s="42" t="str">
        <x:v>Psalter Week II (OT Week 2); Evening Prayer with Proper of Saints/Common elements as directed.</x:v>
      </x:c>
      <x:c r="L29" s="42" t="str">
        <x:v>Night Prayer for Wednesday.</x:v>
      </x:c>
      <x:c r="M29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0">
      <x:c r="A30" s="40" t="n">
        <x:v>46044</x:v>
      </x:c>
      <x:c r="B30" s="41" t="str">
        <x:v>Thursday</x:v>
      </x:c>
      <x:c r="C30" s="133" t="str">
        <x:v>Ordinary Time</x:v>
      </x:c>
      <x:c r="D30" s="41" t="str">
        <x:v>Weekday in Ordinary Time</x:v>
      </x:c>
      <x:c r="E30" s="41" t="str">
        <x:v>Weekday</x:v>
      </x:c>
      <x:c r="F30" s="41" t="str">
        <x:v>Vol. III — Ordinary Time</x:v>
      </x:c>
      <x:c r="G30" s="42" t="str">
        <x:v>Psalter Week II (OT Week 2)</x:v>
      </x:c>
      <x:c r="H30" s="42" t="str">
        <x:v>Proper of Seasons + Psalter Week II (OT Week 2); weekday Office of Readings.</x:v>
      </x:c>
      <x:c r="I30" s="42" t="str">
        <x:v>Proper of Seasons + Psalter Week II (OT Week 2); weekday Morning Prayer.</x:v>
      </x:c>
      <x:c r="J30" s="42" t="str">
        <x:v>Proper of Seasons + Psalter Week II (OT Week 2); choose Midmorning, Midday, or Midafternoon Prayer.</x:v>
      </x:c>
      <x:c r="K30" s="42" t="str">
        <x:v>Proper of Seasons + Psalter Week II (OT Week 2); weekday Evening Prayer.</x:v>
      </x:c>
      <x:c r="L30" s="42" t="str">
        <x:v>Night Prayer for Thursday.</x:v>
      </x:c>
      <x:c r="M3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1">
      <x:c r="A31" s="40" t="n">
        <x:v>46045</x:v>
      </x:c>
      <x:c r="B31" s="41" t="str">
        <x:v>Friday</x:v>
      </x:c>
      <x:c r="C31" s="133" t="str">
        <x:v>Ordinary Time</x:v>
      </x:c>
      <x:c r="D31" s="41" t="str">
        <x:v>Weekday in Ordinary Time</x:v>
      </x:c>
      <x:c r="E31" s="41" t="str">
        <x:v>Weekday</x:v>
      </x:c>
      <x:c r="F31" s="41" t="str">
        <x:v>Vol. III — Ordinary Time</x:v>
      </x:c>
      <x:c r="G31" s="42" t="str">
        <x:v>Psalter Week II (OT Week 2)</x:v>
      </x:c>
      <x:c r="H31" s="42" t="str">
        <x:v>Proper of Seasons + Psalter Week II (OT Week 2); weekday Office of Readings. Optional memorial may be inserted from the Proper of Saints if chosen.</x:v>
      </x:c>
      <x:c r="I31" s="42" t="str">
        <x:v>Proper of Seasons + Psalter Week II (OT Week 2); weekday Morning Prayer. Optional memorial may be inserted from the Proper of Saints if chosen.</x:v>
      </x:c>
      <x:c r="J31" s="42" t="str">
        <x:v>Proper of Seasons + Psalter Week II (OT Week 2); choose Midmorning, Midday, or Midafternoon Prayer.</x:v>
      </x:c>
      <x:c r="K31" s="42" t="str">
        <x:v>Proper of Seasons + Psalter Week II (OT Week 2); weekday Evening Prayer. Optional memorial may be inserted from the Proper of Saints if chosen.</x:v>
      </x:c>
      <x:c r="L31" s="42" t="str">
        <x:v>Night Prayer for Friday.</x:v>
      </x:c>
      <x:c r="M3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2">
      <x:c r="A32" s="40" t="n">
        <x:v>46046</x:v>
      </x:c>
      <x:c r="B32" s="41" t="str">
        <x:v>Saturday</x:v>
      </x:c>
      <x:c r="C32" s="133" t="str">
        <x:v>Ordinary Time</x:v>
      </x:c>
      <x:c r="D32" s="41" t="str">
        <x:v>Saint Francis de Sales</x:v>
      </x:c>
      <x:c r="E32" s="41" t="str">
        <x:v>Memorial</x:v>
      </x:c>
      <x:c r="F32" s="41" t="str">
        <x:v>Vol. III — Ordinary Time</x:v>
      </x:c>
      <x:c r="G32" s="42" t="str">
        <x:v>Psalter Week II (OT Week 2)</x:v>
      </x:c>
      <x:c r="H32" s="42" t="str">
        <x:v>Psalter Week II (OT Week 2); Proper of Saints for the saint's proper reading/prayer; Common where directed.</x:v>
      </x:c>
      <x:c r="I32" s="42" t="str">
        <x:v>Psalter Week II (OT Week 2); Morning Prayer with Proper of Saints/Common elements as directed.</x:v>
      </x:c>
      <x:c r="J32" s="42" t="str">
        <x:v>Psalter Week II (OT Week 2); Daytime Prayer of the season; use the memorial's concluding prayer where directed.</x:v>
      </x:c>
      <x:c r="K32" s="42" t="str">
        <x:v>First Vespers of Sunday: Third Sunday in Ordinary Time — Proper of Seasons + tomorrow's Psalter week.</x:v>
      </x:c>
      <x:c r="L32" s="42" t="str">
        <x:v>Night Prayer I of Sunday after First Vespers.</x:v>
      </x:c>
      <x:c r="M32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3">
      <x:c r="A33" s="40" t="n">
        <x:v>46047</x:v>
      </x:c>
      <x:c r="B33" s="41" t="str">
        <x:v>Sunday</x:v>
      </x:c>
      <x:c r="C33" s="133" t="str">
        <x:v>Ordinary Time</x:v>
      </x:c>
      <x:c r="D33" s="41" t="str">
        <x:v>Third Sunday in Ordinary Time</x:v>
      </x:c>
      <x:c r="E33" s="41" t="str">
        <x:v>Sunday</x:v>
      </x:c>
      <x:c r="F33" s="41" t="str">
        <x:v>Vol. III — Ordinary Time</x:v>
      </x:c>
      <x:c r="G33" s="42" t="str">
        <x:v>Psalter Week III (OT Week 3)</x:v>
      </x:c>
      <x:c r="H33" s="42" t="str">
        <x:v>Proper of Seasons + Psalter Week III (OT Week 3); Office of Readings for Sunday.</x:v>
      </x:c>
      <x:c r="I33" s="42" t="str">
        <x:v>Proper of Seasons + Psalter Week III (OT Week 3); Morning Prayer for Sunday.</x:v>
      </x:c>
      <x:c r="J33" s="42" t="str">
        <x:v>Psalter Week III (OT Week 3); Sunday Daytime Prayer + seasonal proper.</x:v>
      </x:c>
      <x:c r="K33" s="42" t="str">
        <x:v>Evening Prayer II of Sunday — Proper of Seasons + Psalter Week III (OT Week 3).</x:v>
      </x:c>
      <x:c r="L33" s="42" t="str">
        <x:v>Night Prayer II of Sunday.</x:v>
      </x:c>
      <x:c r="M33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4">
      <x:c r="A34" s="40" t="n">
        <x:v>46048</x:v>
      </x:c>
      <x:c r="B34" s="41" t="str">
        <x:v>Monday</x:v>
      </x:c>
      <x:c r="C34" s="133" t="str">
        <x:v>Ordinary Time</x:v>
      </x:c>
      <x:c r="D34" s="41" t="str">
        <x:v>Saints Timothy and Titus</x:v>
      </x:c>
      <x:c r="E34" s="41" t="str">
        <x:v>Memorial</x:v>
      </x:c>
      <x:c r="F34" s="41" t="str">
        <x:v>Vol. III — Ordinary Time</x:v>
      </x:c>
      <x:c r="G34" s="42" t="str">
        <x:v>Psalter Week III (OT Week 3)</x:v>
      </x:c>
      <x:c r="H34" s="42" t="str">
        <x:v>Psalter Week III (OT Week 3); Proper of Saints for the saint's proper reading/prayer; Common where directed.</x:v>
      </x:c>
      <x:c r="I34" s="42" t="str">
        <x:v>Psalter Week III (OT Week 3); Morning Prayer with Proper of Saints/Common elements as directed.</x:v>
      </x:c>
      <x:c r="J34" s="42" t="str">
        <x:v>Psalter Week III (OT Week 3); Daytime Prayer of the season; use the memorial's concluding prayer where directed.</x:v>
      </x:c>
      <x:c r="K34" s="42" t="str">
        <x:v>Psalter Week III (OT Week 3); Evening Prayer with Proper of Saints/Common elements as directed.</x:v>
      </x:c>
      <x:c r="L34" s="42" t="str">
        <x:v>Night Prayer for Monday.</x:v>
      </x:c>
      <x:c r="M3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5">
      <x:c r="A35" s="40" t="n">
        <x:v>46049</x:v>
      </x:c>
      <x:c r="B35" s="41" t="str">
        <x:v>Tuesday</x:v>
      </x:c>
      <x:c r="C35" s="133" t="str">
        <x:v>Ordinary Time</x:v>
      </x:c>
      <x:c r="D35" s="41" t="str">
        <x:v>Weekday in Ordinary Time</x:v>
      </x:c>
      <x:c r="E35" s="41" t="str">
        <x:v>Weekday</x:v>
      </x:c>
      <x:c r="F35" s="41" t="str">
        <x:v>Vol. III — Ordinary Time</x:v>
      </x:c>
      <x:c r="G35" s="42" t="str">
        <x:v>Psalter Week III (OT Week 3)</x:v>
      </x:c>
      <x:c r="H35" s="42" t="str">
        <x:v>Proper of Seasons + Psalter Week III (OT Week 3); weekday Office of Readings. Optional memorial may be inserted from the Proper of Saints if chosen.</x:v>
      </x:c>
      <x:c r="I35" s="42" t="str">
        <x:v>Proper of Seasons + Psalter Week III (OT Week 3); weekday Morning Prayer. Optional memorial may be inserted from the Proper of Saints if chosen.</x:v>
      </x:c>
      <x:c r="J35" s="42" t="str">
        <x:v>Proper of Seasons + Psalter Week III (OT Week 3); choose Midmorning, Midday, or Midafternoon Prayer.</x:v>
      </x:c>
      <x:c r="K35" s="42" t="str">
        <x:v>Proper of Seasons + Psalter Week III (OT Week 3); weekday Evening Prayer. Optional memorial may be inserted from the Proper of Saints if chosen.</x:v>
      </x:c>
      <x:c r="L35" s="42" t="str">
        <x:v>Night Prayer for Tuesday.</x:v>
      </x:c>
      <x:c r="M3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6">
      <x:c r="A36" s="40" t="n">
        <x:v>46050</x:v>
      </x:c>
      <x:c r="B36" s="41" t="str">
        <x:v>Wednesday</x:v>
      </x:c>
      <x:c r="C36" s="133" t="str">
        <x:v>Ordinary Time</x:v>
      </x:c>
      <x:c r="D36" s="41" t="str">
        <x:v>Saint Thomas Aquinas</x:v>
      </x:c>
      <x:c r="E36" s="41" t="str">
        <x:v>Memorial</x:v>
      </x:c>
      <x:c r="F36" s="41" t="str">
        <x:v>Vol. III — Ordinary Time</x:v>
      </x:c>
      <x:c r="G36" s="42" t="str">
        <x:v>Psalter Week III (OT Week 3)</x:v>
      </x:c>
      <x:c r="H36" s="42" t="str">
        <x:v>Psalter Week III (OT Week 3); Proper of Saints for the saint's proper reading/prayer; Common where directed.</x:v>
      </x:c>
      <x:c r="I36" s="42" t="str">
        <x:v>Psalter Week III (OT Week 3); Morning Prayer with Proper of Saints/Common elements as directed.</x:v>
      </x:c>
      <x:c r="J36" s="42" t="str">
        <x:v>Psalter Week III (OT Week 3); Daytime Prayer of the season; use the memorial's concluding prayer where directed.</x:v>
      </x:c>
      <x:c r="K36" s="42" t="str">
        <x:v>Psalter Week III (OT Week 3); Evening Prayer with Proper of Saints/Common elements as directed.</x:v>
      </x:c>
      <x:c r="L36" s="42" t="str">
        <x:v>Night Prayer for Wednesday.</x:v>
      </x:c>
      <x:c r="M36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7">
      <x:c r="A37" s="40" t="n">
        <x:v>46051</x:v>
      </x:c>
      <x:c r="B37" s="41" t="str">
        <x:v>Thursday</x:v>
      </x:c>
      <x:c r="C37" s="133" t="str">
        <x:v>Ordinary Time</x:v>
      </x:c>
      <x:c r="D37" s="41" t="str">
        <x:v>Weekday in Ordinary Time</x:v>
      </x:c>
      <x:c r="E37" s="41" t="str">
        <x:v>Weekday</x:v>
      </x:c>
      <x:c r="F37" s="41" t="str">
        <x:v>Vol. III — Ordinary Time</x:v>
      </x:c>
      <x:c r="G37" s="42" t="str">
        <x:v>Psalter Week III (OT Week 3)</x:v>
      </x:c>
      <x:c r="H37" s="42" t="str">
        <x:v>Proper of Seasons + Psalter Week III (OT Week 3); weekday Office of Readings.</x:v>
      </x:c>
      <x:c r="I37" s="42" t="str">
        <x:v>Proper of Seasons + Psalter Week III (OT Week 3); weekday Morning Prayer.</x:v>
      </x:c>
      <x:c r="J37" s="42" t="str">
        <x:v>Proper of Seasons + Psalter Week III (OT Week 3); choose Midmorning, Midday, or Midafternoon Prayer.</x:v>
      </x:c>
      <x:c r="K37" s="42" t="str">
        <x:v>Proper of Seasons + Psalter Week III (OT Week 3); weekday Evening Prayer.</x:v>
      </x:c>
      <x:c r="L37" s="42" t="str">
        <x:v>Night Prayer for Thursday.</x:v>
      </x:c>
      <x:c r="M3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8">
      <x:c r="A38" s="40" t="n">
        <x:v>46052</x:v>
      </x:c>
      <x:c r="B38" s="41" t="str">
        <x:v>Friday</x:v>
      </x:c>
      <x:c r="C38" s="133" t="str">
        <x:v>Ordinary Time</x:v>
      </x:c>
      <x:c r="D38" s="41" t="str">
        <x:v>Weekday in Ordinary Time</x:v>
      </x:c>
      <x:c r="E38" s="41" t="str">
        <x:v>Weekday</x:v>
      </x:c>
      <x:c r="F38" s="41" t="str">
        <x:v>Vol. III — Ordinary Time</x:v>
      </x:c>
      <x:c r="G38" s="42" t="str">
        <x:v>Psalter Week III (OT Week 3)</x:v>
      </x:c>
      <x:c r="H38" s="42" t="str">
        <x:v>Proper of Seasons + Psalter Week III (OT Week 3); weekday Office of Readings.</x:v>
      </x:c>
      <x:c r="I38" s="42" t="str">
        <x:v>Proper of Seasons + Psalter Week III (OT Week 3); weekday Morning Prayer.</x:v>
      </x:c>
      <x:c r="J38" s="42" t="str">
        <x:v>Proper of Seasons + Psalter Week III (OT Week 3); choose Midmorning, Midday, or Midafternoon Prayer.</x:v>
      </x:c>
      <x:c r="K38" s="42" t="str">
        <x:v>Proper of Seasons + Psalter Week III (OT Week 3); weekday Evening Prayer.</x:v>
      </x:c>
      <x:c r="L38" s="42" t="str">
        <x:v>Night Prayer for Friday.</x:v>
      </x:c>
      <x:c r="M3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9">
      <x:c r="A39" s="40" t="n">
        <x:v>46053</x:v>
      </x:c>
      <x:c r="B39" s="41" t="str">
        <x:v>Saturday</x:v>
      </x:c>
      <x:c r="C39" s="133" t="str">
        <x:v>Ordinary Time</x:v>
      </x:c>
      <x:c r="D39" s="41" t="str">
        <x:v>Saint John Bosco</x:v>
      </x:c>
      <x:c r="E39" s="41" t="str">
        <x:v>Memorial</x:v>
      </x:c>
      <x:c r="F39" s="41" t="str">
        <x:v>Vol. III — Ordinary Time</x:v>
      </x:c>
      <x:c r="G39" s="42" t="str">
        <x:v>Psalter Week III (OT Week 3)</x:v>
      </x:c>
      <x:c r="H39" s="42" t="str">
        <x:v>Psalter Week III (OT Week 3); Proper of Saints for the saint's proper reading/prayer; Common where directed.</x:v>
      </x:c>
      <x:c r="I39" s="42" t="str">
        <x:v>Psalter Week III (OT Week 3); Morning Prayer with Proper of Saints/Common elements as directed.</x:v>
      </x:c>
      <x:c r="J39" s="42" t="str">
        <x:v>Psalter Week III (OT Week 3); Daytime Prayer of the season; use the memorial's concluding prayer where directed.</x:v>
      </x:c>
      <x:c r="K39" s="42" t="str">
        <x:v>First Vespers of Sunday: Fourth Sunday in Ordinary Time — Proper of Seasons + tomorrow's Psalter week.</x:v>
      </x:c>
      <x:c r="L39" s="42" t="str">
        <x:v>Night Prayer I of Sunday after First Vespers.</x:v>
      </x:c>
      <x:c r="M39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40">
      <x:c r="A40" s="40" t="n">
        <x:v>46054</x:v>
      </x:c>
      <x:c r="B40" s="41" t="str">
        <x:v>Sunday</x:v>
      </x:c>
      <x:c r="C40" s="133" t="str">
        <x:v>Ordinary Time</x:v>
      </x:c>
      <x:c r="D40" s="41" t="str">
        <x:v>Fourth Sunday in Ordinary Time</x:v>
      </x:c>
      <x:c r="E40" s="41" t="str">
        <x:v>Sunday</x:v>
      </x:c>
      <x:c r="F40" s="41" t="str">
        <x:v>Vol. III — Ordinary Time</x:v>
      </x:c>
      <x:c r="G40" s="42" t="str">
        <x:v>Psalter Week IV (OT Week 4)</x:v>
      </x:c>
      <x:c r="H40" s="42" t="str">
        <x:v>Proper of Seasons + Psalter Week IV (OT Week 4); Office of Readings for Sunday.</x:v>
      </x:c>
      <x:c r="I40" s="42" t="str">
        <x:v>Proper of Seasons + Psalter Week IV (OT Week 4); Morning Prayer for Sunday.</x:v>
      </x:c>
      <x:c r="J40" s="42" t="str">
        <x:v>Psalter Week IV (OT Week 4); Sunday Daytime Prayer + seasonal proper.</x:v>
      </x:c>
      <x:c r="K40" s="42" t="str">
        <x:v>Evening Prayer II of Sunday — Proper of Seasons + Psalter Week IV (OT Week 4).</x:v>
      </x:c>
      <x:c r="L40" s="42" t="str">
        <x:v>Night Prayer II of Sunday.</x:v>
      </x:c>
      <x:c r="M40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41">
      <x:c r="A41" s="40" t="n">
        <x:v>46055</x:v>
      </x:c>
      <x:c r="B41" s="41" t="str">
        <x:v>Monday</x:v>
      </x:c>
      <x:c r="C41" s="133" t="str">
        <x:v>Ordinary Time</x:v>
      </x:c>
      <x:c r="D41" s="131" t="str">
        <x:v>Presentation of the Lord</x:v>
      </x:c>
      <x:c r="E41" s="131" t="str">
        <x:v>Feast</x:v>
      </x:c>
      <x:c r="F41" s="131" t="str">
        <x:v>Vol. III — Ordinary Time</x:v>
      </x:c>
      <x:c r="G41" s="132" t="str">
        <x:v>Proper / Common</x:v>
      </x:c>
      <x:c r="H41" s="42" t="str">
        <x:v>Proper of Seasons/Saints → Feast; use Common where directed.</x:v>
      </x:c>
      <x:c r="I41" s="42" t="str">
        <x:v>Proper of the Feast/Common as directed; use feast psalmody where provided.</x:v>
      </x:c>
      <x:c r="J41" s="42" t="str">
        <x:v>Proper / Common; Daytime Prayer of the season, with the feast's proper elements where directed.</x:v>
      </x:c>
      <x:c r="K41" s="42" t="str">
        <x:v>Proper of the Feast/Common as directed for Evening Prayer.</x:v>
      </x:c>
      <x:c r="L41" s="42" t="str">
        <x:v>Night Prayer for Monday.</x:v>
      </x:c>
      <x:c r="M41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42">
      <x:c r="A42" s="40" t="n">
        <x:v>46056</x:v>
      </x:c>
      <x:c r="B42" s="41" t="str">
        <x:v>Tuesday</x:v>
      </x:c>
      <x:c r="C42" s="133" t="str">
        <x:v>Ordinary Time</x:v>
      </x:c>
      <x:c r="D42" s="41" t="str">
        <x:v>Weekday in Ordinary Time</x:v>
      </x:c>
      <x:c r="E42" s="41" t="str">
        <x:v>Weekday</x:v>
      </x:c>
      <x:c r="F42" s="41" t="str">
        <x:v>Vol. III — Ordinary Time</x:v>
      </x:c>
      <x:c r="G42" s="42" t="str">
        <x:v>Psalter Week IV (OT Week 4)</x:v>
      </x:c>
      <x:c r="H42" s="42" t="str">
        <x:v>Proper of Seasons + Psalter Week IV (OT Week 4); weekday Office of Readings. Optional memorial may be inserted from the Proper of Saints if chosen.</x:v>
      </x:c>
      <x:c r="I42" s="42" t="str">
        <x:v>Proper of Seasons + Psalter Week IV (OT Week 4); weekday Morning Prayer. Optional memorial may be inserted from the Proper of Saints if chosen.</x:v>
      </x:c>
      <x:c r="J42" s="42" t="str">
        <x:v>Proper of Seasons + Psalter Week IV (OT Week 4); choose Midmorning, Midday, or Midafternoon Prayer.</x:v>
      </x:c>
      <x:c r="K42" s="42" t="str">
        <x:v>Proper of Seasons + Psalter Week IV (OT Week 4); weekday Evening Prayer. Optional memorial may be inserted from the Proper of Saints if chosen.</x:v>
      </x:c>
      <x:c r="L42" s="42" t="str">
        <x:v>Night Prayer for Tuesday.</x:v>
      </x:c>
      <x:c r="M4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43">
      <x:c r="A43" s="40" t="n">
        <x:v>46057</x:v>
      </x:c>
      <x:c r="B43" s="41" t="str">
        <x:v>Wednesday</x:v>
      </x:c>
      <x:c r="C43" s="133" t="str">
        <x:v>Ordinary Time</x:v>
      </x:c>
      <x:c r="D43" s="41" t="str">
        <x:v>Weekday in Ordinary Time</x:v>
      </x:c>
      <x:c r="E43" s="41" t="str">
        <x:v>Weekday</x:v>
      </x:c>
      <x:c r="F43" s="41" t="str">
        <x:v>Vol. III — Ordinary Time</x:v>
      </x:c>
      <x:c r="G43" s="42" t="str">
        <x:v>Psalter Week IV (OT Week 4)</x:v>
      </x:c>
      <x:c r="H43" s="42" t="str">
        <x:v>Proper of Seasons + Psalter Week IV (OT Week 4); weekday Office of Readings.</x:v>
      </x:c>
      <x:c r="I43" s="42" t="str">
        <x:v>Proper of Seasons + Psalter Week IV (OT Week 4); weekday Morning Prayer.</x:v>
      </x:c>
      <x:c r="J43" s="42" t="str">
        <x:v>Proper of Seasons + Psalter Week IV (OT Week 4); choose Midmorning, Midday, or Midafternoon Prayer.</x:v>
      </x:c>
      <x:c r="K43" s="42" t="str">
        <x:v>Proper of Seasons + Psalter Week IV (OT Week 4); weekday Evening Prayer.</x:v>
      </x:c>
      <x:c r="L43" s="42" t="str">
        <x:v>Night Prayer for Wednesday.</x:v>
      </x:c>
      <x:c r="M4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44">
      <x:c r="A44" s="40" t="n">
        <x:v>46058</x:v>
      </x:c>
      <x:c r="B44" s="41" t="str">
        <x:v>Thursday</x:v>
      </x:c>
      <x:c r="C44" s="133" t="str">
        <x:v>Ordinary Time</x:v>
      </x:c>
      <x:c r="D44" s="41" t="str">
        <x:v>Saint Agatha</x:v>
      </x:c>
      <x:c r="E44" s="41" t="str">
        <x:v>Memorial</x:v>
      </x:c>
      <x:c r="F44" s="41" t="str">
        <x:v>Vol. III — Ordinary Time</x:v>
      </x:c>
      <x:c r="G44" s="42" t="str">
        <x:v>Psalter Week IV (OT Week 4)</x:v>
      </x:c>
      <x:c r="H44" s="42" t="str">
        <x:v>Psalter Week IV (OT Week 4); Proper of Saints for the saint's proper reading/prayer; Common where directed.</x:v>
      </x:c>
      <x:c r="I44" s="42" t="str">
        <x:v>Psalter Week IV (OT Week 4); Morning Prayer with Proper of Saints/Common elements as directed.</x:v>
      </x:c>
      <x:c r="J44" s="42" t="str">
        <x:v>Psalter Week IV (OT Week 4); Daytime Prayer of the season; use the memorial's concluding prayer where directed.</x:v>
      </x:c>
      <x:c r="K44" s="42" t="str">
        <x:v>Psalter Week IV (OT Week 4); Evening Prayer with Proper of Saints/Common elements as directed.</x:v>
      </x:c>
      <x:c r="L44" s="42" t="str">
        <x:v>Night Prayer for Thursday.</x:v>
      </x:c>
      <x:c r="M4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45">
      <x:c r="A45" s="40" t="n">
        <x:v>46059</x:v>
      </x:c>
      <x:c r="B45" s="41" t="str">
        <x:v>Friday</x:v>
      </x:c>
      <x:c r="C45" s="133" t="str">
        <x:v>Ordinary Time</x:v>
      </x:c>
      <x:c r="D45" s="41" t="str">
        <x:v>Saint Paul Miki and Companions</x:v>
      </x:c>
      <x:c r="E45" s="41" t="str">
        <x:v>Memorial</x:v>
      </x:c>
      <x:c r="F45" s="41" t="str">
        <x:v>Vol. III — Ordinary Time</x:v>
      </x:c>
      <x:c r="G45" s="42" t="str">
        <x:v>Psalter Week IV (OT Week 4)</x:v>
      </x:c>
      <x:c r="H45" s="42" t="str">
        <x:v>Psalter Week IV (OT Week 4); Proper of Saints for the saint's proper reading/prayer; Common where directed.</x:v>
      </x:c>
      <x:c r="I45" s="42" t="str">
        <x:v>Psalter Week IV (OT Week 4); Morning Prayer with Proper of Saints/Common elements as directed.</x:v>
      </x:c>
      <x:c r="J45" s="42" t="str">
        <x:v>Psalter Week IV (OT Week 4); Daytime Prayer of the season; use the memorial's concluding prayer where directed.</x:v>
      </x:c>
      <x:c r="K45" s="42" t="str">
        <x:v>Psalter Week IV (OT Week 4); Evening Prayer with Proper of Saints/Common elements as directed.</x:v>
      </x:c>
      <x:c r="L45" s="42" t="str">
        <x:v>Night Prayer for Friday.</x:v>
      </x:c>
      <x:c r="M45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46">
      <x:c r="A46" s="40" t="n">
        <x:v>46060</x:v>
      </x:c>
      <x:c r="B46" s="41" t="str">
        <x:v>Saturday</x:v>
      </x:c>
      <x:c r="C46" s="133" t="str">
        <x:v>Ordinary Time</x:v>
      </x:c>
      <x:c r="D46" s="41" t="str">
        <x:v>Weekday in Ordinary Time</x:v>
      </x:c>
      <x:c r="E46" s="41" t="str">
        <x:v>Weekday</x:v>
      </x:c>
      <x:c r="F46" s="41" t="str">
        <x:v>Vol. III — Ordinary Time</x:v>
      </x:c>
      <x:c r="G46" s="42" t="str">
        <x:v>Psalter Week IV (OT Week 4)</x:v>
      </x:c>
      <x:c r="H46" s="42" t="str">
        <x:v>Proper of Seasons + Psalter Week IV (OT Week 4); weekday Office of Readings.</x:v>
      </x:c>
      <x:c r="I46" s="42" t="str">
        <x:v>Proper of Seasons + Psalter Week IV (OT Week 4); weekday Morning Prayer.</x:v>
      </x:c>
      <x:c r="J46" s="42" t="str">
        <x:v>Proper of Seasons + Psalter Week IV (OT Week 4); choose Midmorning, Midday, or Midafternoon Prayer.</x:v>
      </x:c>
      <x:c r="K46" s="42" t="str">
        <x:v>First Vespers of Sunday: Fifth Sunday in Ordinary Time — Proper of Seasons + tomorrow's Psalter week.</x:v>
      </x:c>
      <x:c r="L46" s="42" t="str">
        <x:v>Night Prayer I of Sunday after First Vespers.</x:v>
      </x:c>
      <x:c r="M46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47">
      <x:c r="A47" s="40" t="n">
        <x:v>46061</x:v>
      </x:c>
      <x:c r="B47" s="41" t="str">
        <x:v>Sunday</x:v>
      </x:c>
      <x:c r="C47" s="133" t="str">
        <x:v>Ordinary Time</x:v>
      </x:c>
      <x:c r="D47" s="41" t="str">
        <x:v>Fifth Sunday in Ordinary Time</x:v>
      </x:c>
      <x:c r="E47" s="41" t="str">
        <x:v>Sunday</x:v>
      </x:c>
      <x:c r="F47" s="41" t="str">
        <x:v>Vol. III — Ordinary Time</x:v>
      </x:c>
      <x:c r="G47" s="42" t="str">
        <x:v>Psalter Week I (OT Week 5)</x:v>
      </x:c>
      <x:c r="H47" s="42" t="str">
        <x:v>Proper of Seasons + Psalter Week I (OT Week 5); Office of Readings for Sunday.</x:v>
      </x:c>
      <x:c r="I47" s="42" t="str">
        <x:v>Proper of Seasons + Psalter Week I (OT Week 5); Morning Prayer for Sunday.</x:v>
      </x:c>
      <x:c r="J47" s="42" t="str">
        <x:v>Psalter Week I (OT Week 5); Sunday Daytime Prayer + seasonal proper.</x:v>
      </x:c>
      <x:c r="K47" s="42" t="str">
        <x:v>Evening Prayer II of Sunday — Proper of Seasons + Psalter Week I (OT Week 5).</x:v>
      </x:c>
      <x:c r="L47" s="42" t="str">
        <x:v>Night Prayer II of Sunday.</x:v>
      </x:c>
      <x:c r="M47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48">
      <x:c r="A48" s="40" t="n">
        <x:v>46062</x:v>
      </x:c>
      <x:c r="B48" s="41" t="str">
        <x:v>Monday</x:v>
      </x:c>
      <x:c r="C48" s="133" t="str">
        <x:v>Ordinary Time</x:v>
      </x:c>
      <x:c r="D48" s="41" t="str">
        <x:v>Weekday in Ordinary Time</x:v>
      </x:c>
      <x:c r="E48" s="41" t="str">
        <x:v>Weekday</x:v>
      </x:c>
      <x:c r="F48" s="41" t="str">
        <x:v>Vol. III — Ordinary Time</x:v>
      </x:c>
      <x:c r="G48" s="42" t="str">
        <x:v>Psalter Week I (OT Week 5)</x:v>
      </x:c>
      <x:c r="H48" s="42" t="str">
        <x:v>Proper of Seasons + Psalter Week I (OT Week 5); weekday Office of Readings.</x:v>
      </x:c>
      <x:c r="I48" s="42" t="str">
        <x:v>Proper of Seasons + Psalter Week I (OT Week 5); weekday Morning Prayer.</x:v>
      </x:c>
      <x:c r="J48" s="42" t="str">
        <x:v>Proper of Seasons + Psalter Week I (OT Week 5); choose Midmorning, Midday, or Midafternoon Prayer.</x:v>
      </x:c>
      <x:c r="K48" s="42" t="str">
        <x:v>Proper of Seasons + Psalter Week I (OT Week 5); weekday Evening Prayer.</x:v>
      </x:c>
      <x:c r="L48" s="42" t="str">
        <x:v>Night Prayer for Monday.</x:v>
      </x:c>
      <x:c r="M4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49">
      <x:c r="A49" s="40" t="n">
        <x:v>46063</x:v>
      </x:c>
      <x:c r="B49" s="41" t="str">
        <x:v>Tuesday</x:v>
      </x:c>
      <x:c r="C49" s="133" t="str">
        <x:v>Ordinary Time</x:v>
      </x:c>
      <x:c r="D49" s="41" t="str">
        <x:v>Saint Scholastica</x:v>
      </x:c>
      <x:c r="E49" s="41" t="str">
        <x:v>Memorial</x:v>
      </x:c>
      <x:c r="F49" s="41" t="str">
        <x:v>Vol. III — Ordinary Time</x:v>
      </x:c>
      <x:c r="G49" s="42" t="str">
        <x:v>Psalter Week I (OT Week 5)</x:v>
      </x:c>
      <x:c r="H49" s="42" t="str">
        <x:v>Psalter Week I (OT Week 5); Proper of Saints for the saint's proper reading/prayer; Common where directed.</x:v>
      </x:c>
      <x:c r="I49" s="42" t="str">
        <x:v>Psalter Week I (OT Week 5); Morning Prayer with Proper of Saints/Common elements as directed.</x:v>
      </x:c>
      <x:c r="J49" s="42" t="str">
        <x:v>Psalter Week I (OT Week 5); Daytime Prayer of the season; use the memorial's concluding prayer where directed.</x:v>
      </x:c>
      <x:c r="K49" s="42" t="str">
        <x:v>Psalter Week I (OT Week 5); Evening Prayer with Proper of Saints/Common elements as directed.</x:v>
      </x:c>
      <x:c r="L49" s="42" t="str">
        <x:v>Night Prayer for Tuesday.</x:v>
      </x:c>
      <x:c r="M49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50">
      <x:c r="A50" s="40" t="n">
        <x:v>46064</x:v>
      </x:c>
      <x:c r="B50" s="41" t="str">
        <x:v>Wednesday</x:v>
      </x:c>
      <x:c r="C50" s="133" t="str">
        <x:v>Ordinary Time</x:v>
      </x:c>
      <x:c r="D50" s="41" t="str">
        <x:v>Weekday in Ordinary Time</x:v>
      </x:c>
      <x:c r="E50" s="41" t="str">
        <x:v>Weekday</x:v>
      </x:c>
      <x:c r="F50" s="41" t="str">
        <x:v>Vol. III — Ordinary Time</x:v>
      </x:c>
      <x:c r="G50" s="42" t="str">
        <x:v>Psalter Week I (OT Week 5)</x:v>
      </x:c>
      <x:c r="H50" s="42" t="str">
        <x:v>Proper of Seasons + Psalter Week I (OT Week 5); weekday Office of Readings. Optional memorial may be inserted from the Proper of Saints if chosen.</x:v>
      </x:c>
      <x:c r="I50" s="42" t="str">
        <x:v>Proper of Seasons + Psalter Week I (OT Week 5); weekday Morning Prayer. Optional memorial may be inserted from the Proper of Saints if chosen.</x:v>
      </x:c>
      <x:c r="J50" s="42" t="str">
        <x:v>Proper of Seasons + Psalter Week I (OT Week 5); choose Midmorning, Midday, or Midafternoon Prayer.</x:v>
      </x:c>
      <x:c r="K50" s="42" t="str">
        <x:v>Proper of Seasons + Psalter Week I (OT Week 5); weekday Evening Prayer. Optional memorial may be inserted from the Proper of Saints if chosen.</x:v>
      </x:c>
      <x:c r="L50" s="42" t="str">
        <x:v>Night Prayer for Wednesday.</x:v>
      </x:c>
      <x:c r="M5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51">
      <x:c r="A51" s="40" t="n">
        <x:v>46065</x:v>
      </x:c>
      <x:c r="B51" s="41" t="str">
        <x:v>Thursday</x:v>
      </x:c>
      <x:c r="C51" s="133" t="str">
        <x:v>Ordinary Time</x:v>
      </x:c>
      <x:c r="D51" s="41" t="str">
        <x:v>Weekday in Ordinary Time</x:v>
      </x:c>
      <x:c r="E51" s="41" t="str">
        <x:v>Weekday</x:v>
      </x:c>
      <x:c r="F51" s="41" t="str">
        <x:v>Vol. III — Ordinary Time</x:v>
      </x:c>
      <x:c r="G51" s="42" t="str">
        <x:v>Psalter Week I (OT Week 5)</x:v>
      </x:c>
      <x:c r="H51" s="42" t="str">
        <x:v>Proper of Seasons + Psalter Week I (OT Week 5); weekday Office of Readings.</x:v>
      </x:c>
      <x:c r="I51" s="42" t="str">
        <x:v>Proper of Seasons + Psalter Week I (OT Week 5); weekday Morning Prayer.</x:v>
      </x:c>
      <x:c r="J51" s="42" t="str">
        <x:v>Proper of Seasons + Psalter Week I (OT Week 5); choose Midmorning, Midday, or Midafternoon Prayer.</x:v>
      </x:c>
      <x:c r="K51" s="42" t="str">
        <x:v>Proper of Seasons + Psalter Week I (OT Week 5); weekday Evening Prayer.</x:v>
      </x:c>
      <x:c r="L51" s="42" t="str">
        <x:v>Night Prayer for Thursday.</x:v>
      </x:c>
      <x:c r="M5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52">
      <x:c r="A52" s="40" t="n">
        <x:v>46066</x:v>
      </x:c>
      <x:c r="B52" s="41" t="str">
        <x:v>Friday</x:v>
      </x:c>
      <x:c r="C52" s="133" t="str">
        <x:v>Ordinary Time</x:v>
      </x:c>
      <x:c r="D52" s="41" t="str">
        <x:v>Weekday in Ordinary Time</x:v>
      </x:c>
      <x:c r="E52" s="41" t="str">
        <x:v>Weekday</x:v>
      </x:c>
      <x:c r="F52" s="41" t="str">
        <x:v>Vol. III — Ordinary Time</x:v>
      </x:c>
      <x:c r="G52" s="42" t="str">
        <x:v>Psalter Week I (OT Week 5)</x:v>
      </x:c>
      <x:c r="H52" s="42" t="str">
        <x:v>Proper of Seasons + Psalter Week I (OT Week 5); weekday Office of Readings.</x:v>
      </x:c>
      <x:c r="I52" s="42" t="str">
        <x:v>Proper of Seasons + Psalter Week I (OT Week 5); weekday Morning Prayer.</x:v>
      </x:c>
      <x:c r="J52" s="42" t="str">
        <x:v>Proper of Seasons + Psalter Week I (OT Week 5); choose Midmorning, Midday, or Midafternoon Prayer.</x:v>
      </x:c>
      <x:c r="K52" s="42" t="str">
        <x:v>Proper of Seasons + Psalter Week I (OT Week 5); weekday Evening Prayer.</x:v>
      </x:c>
      <x:c r="L52" s="42" t="str">
        <x:v>Night Prayer for Friday.</x:v>
      </x:c>
      <x:c r="M5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53">
      <x:c r="A53" s="40" t="n">
        <x:v>46067</x:v>
      </x:c>
      <x:c r="B53" s="41" t="str">
        <x:v>Saturday</x:v>
      </x:c>
      <x:c r="C53" s="133" t="str">
        <x:v>Ordinary Time</x:v>
      </x:c>
      <x:c r="D53" s="41" t="str">
        <x:v>Saints Cyril and Methodius</x:v>
      </x:c>
      <x:c r="E53" s="41" t="str">
        <x:v>Memorial</x:v>
      </x:c>
      <x:c r="F53" s="41" t="str">
        <x:v>Vol. III — Ordinary Time</x:v>
      </x:c>
      <x:c r="G53" s="42" t="str">
        <x:v>Psalter Week I (OT Week 5)</x:v>
      </x:c>
      <x:c r="H53" s="42" t="str">
        <x:v>Psalter Week I (OT Week 5); Proper of Saints for the saint's proper reading/prayer; Common where directed.</x:v>
      </x:c>
      <x:c r="I53" s="42" t="str">
        <x:v>Psalter Week I (OT Week 5); Morning Prayer with Proper of Saints/Common elements as directed.</x:v>
      </x:c>
      <x:c r="J53" s="42" t="str">
        <x:v>Psalter Week I (OT Week 5); Daytime Prayer of the season; use the memorial's concluding prayer where directed.</x:v>
      </x:c>
      <x:c r="K53" s="42" t="str">
        <x:v>First Vespers of Sunday: Sixth Sunday in Ordinary Time — Proper of Seasons + tomorrow's Psalter week.</x:v>
      </x:c>
      <x:c r="L53" s="42" t="str">
        <x:v>Night Prayer I of Sunday after First Vespers.</x:v>
      </x:c>
      <x:c r="M53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54">
      <x:c r="A54" s="40" t="n">
        <x:v>46068</x:v>
      </x:c>
      <x:c r="B54" s="41" t="str">
        <x:v>Sunday</x:v>
      </x:c>
      <x:c r="C54" s="133" t="str">
        <x:v>Ordinary Time</x:v>
      </x:c>
      <x:c r="D54" s="41" t="str">
        <x:v>Sixth Sunday in Ordinary Time</x:v>
      </x:c>
      <x:c r="E54" s="41" t="str">
        <x:v>Sunday</x:v>
      </x:c>
      <x:c r="F54" s="41" t="str">
        <x:v>Vol. III — Ordinary Time</x:v>
      </x:c>
      <x:c r="G54" s="42" t="str">
        <x:v>Psalter Week II (OT Week 6)</x:v>
      </x:c>
      <x:c r="H54" s="42" t="str">
        <x:v>Proper of Seasons + Psalter Week II (OT Week 6); Office of Readings for Sunday.</x:v>
      </x:c>
      <x:c r="I54" s="42" t="str">
        <x:v>Proper of Seasons + Psalter Week II (OT Week 6); Morning Prayer for Sunday.</x:v>
      </x:c>
      <x:c r="J54" s="42" t="str">
        <x:v>Psalter Week II (OT Week 6); Sunday Daytime Prayer + seasonal proper.</x:v>
      </x:c>
      <x:c r="K54" s="42" t="str">
        <x:v>Evening Prayer II of Sunday — Proper of Seasons + Psalter Week II (OT Week 6).</x:v>
      </x:c>
      <x:c r="L54" s="42" t="str">
        <x:v>Night Prayer II of Sunday.</x:v>
      </x:c>
      <x:c r="M54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55">
      <x:c r="A55" s="40" t="n">
        <x:v>46069</x:v>
      </x:c>
      <x:c r="B55" s="41" t="str">
        <x:v>Monday</x:v>
      </x:c>
      <x:c r="C55" s="133" t="str">
        <x:v>Ordinary Time</x:v>
      </x:c>
      <x:c r="D55" s="41" t="str">
        <x:v>Weekday in Ordinary Time</x:v>
      </x:c>
      <x:c r="E55" s="41" t="str">
        <x:v>Weekday</x:v>
      </x:c>
      <x:c r="F55" s="41" t="str">
        <x:v>Vol. III — Ordinary Time</x:v>
      </x:c>
      <x:c r="G55" s="42" t="str">
        <x:v>Psalter Week II (OT Week 6)</x:v>
      </x:c>
      <x:c r="H55" s="42" t="str">
        <x:v>Proper of Seasons + Psalter Week II (OT Week 6); weekday Office of Readings.</x:v>
      </x:c>
      <x:c r="I55" s="42" t="str">
        <x:v>Proper of Seasons + Psalter Week II (OT Week 6); weekday Morning Prayer.</x:v>
      </x:c>
      <x:c r="J55" s="42" t="str">
        <x:v>Proper of Seasons + Psalter Week II (OT Week 6); choose Midmorning, Midday, or Midafternoon Prayer.</x:v>
      </x:c>
      <x:c r="K55" s="42" t="str">
        <x:v>Proper of Seasons + Psalter Week II (OT Week 6); weekday Evening Prayer.</x:v>
      </x:c>
      <x:c r="L55" s="42" t="str">
        <x:v>Night Prayer for Monday.</x:v>
      </x:c>
      <x:c r="M5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56">
      <x:c r="A56" s="40" t="n">
        <x:v>46070</x:v>
      </x:c>
      <x:c r="B56" s="41" t="str">
        <x:v>Tuesday</x:v>
      </x:c>
      <x:c r="C56" s="133" t="str">
        <x:v>Ordinary Time</x:v>
      </x:c>
      <x:c r="D56" s="41" t="str">
        <x:v>Weekday in Ordinary Time</x:v>
      </x:c>
      <x:c r="E56" s="41" t="str">
        <x:v>Weekday</x:v>
      </x:c>
      <x:c r="F56" s="41" t="str">
        <x:v>Vol. III — Ordinary Time</x:v>
      </x:c>
      <x:c r="G56" s="42" t="str">
        <x:v>Psalter Week II (OT Week 6)</x:v>
      </x:c>
      <x:c r="H56" s="42" t="str">
        <x:v>Proper of Seasons + Psalter Week II (OT Week 6); weekday Office of Readings. Optional memorial may be inserted from the Proper of Saints if chosen.</x:v>
      </x:c>
      <x:c r="I56" s="42" t="str">
        <x:v>Proper of Seasons + Psalter Week II (OT Week 6); weekday Morning Prayer. Optional memorial may be inserted from the Proper of Saints if chosen.</x:v>
      </x:c>
      <x:c r="J56" s="42" t="str">
        <x:v>Proper of Seasons + Psalter Week II (OT Week 6); choose Midmorning, Midday, or Midafternoon Prayer.</x:v>
      </x:c>
      <x:c r="K56" s="42" t="str">
        <x:v>Proper of Seasons + Psalter Week II (OT Week 6); weekday Evening Prayer. Optional memorial may be inserted from the Proper of Saints if chosen.</x:v>
      </x:c>
      <x:c r="L56" s="42" t="str">
        <x:v>Night Prayer for Tuesday.</x:v>
      </x:c>
      <x:c r="M5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57">
      <x:c r="A57" s="40" t="n">
        <x:v>46071</x:v>
      </x:c>
      <x:c r="B57" s="41" t="str">
        <x:v>Wednesday</x:v>
      </x:c>
      <x:c r="C57" s="134" t="str">
        <x:v>Lent</x:v>
      </x:c>
      <x:c r="D57" s="41" t="str">
        <x:v>Ash Wednesday</x:v>
      </x:c>
      <x:c r="E57" s="41" t="str">
        <x:v>Major Day</x:v>
      </x:c>
      <x:c r="F57" s="41" t="str">
        <x:v>Vol. II — Lent, Triduum &amp; Easter</x:v>
      </x:c>
      <x:c r="G57" s="42" t="str">
        <x:v>Psalter Week IV</x:v>
      </x:c>
      <x:c r="H57" s="42" t="str">
        <x:v>Proper of Seasons + Psalter Week IV; weekday Office of Readings.</x:v>
      </x:c>
      <x:c r="I57" s="42" t="str">
        <x:v>Proper of Seasons + Psalter Week IV; weekday Morning Prayer.</x:v>
      </x:c>
      <x:c r="J57" s="42" t="str">
        <x:v>Proper of Seasons + Psalter Week IV; choose Midmorning, Midday, or Midafternoon Prayer.</x:v>
      </x:c>
      <x:c r="K57" s="42" t="str">
        <x:v>Proper of Seasons + Psalter Week IV; weekday Evening Prayer.</x:v>
      </x:c>
      <x:c r="L57" s="42" t="str">
        <x:v>Night Prayer for Wednesday.</x:v>
      </x:c>
      <x:c r="M5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58">
      <x:c r="A58" s="40" t="n">
        <x:v>46072</x:v>
      </x:c>
      <x:c r="B58" s="41" t="str">
        <x:v>Thursday</x:v>
      </x:c>
      <x:c r="C58" s="134" t="str">
        <x:v>Lent</x:v>
      </x:c>
      <x:c r="D58" s="41" t="str">
        <x:v>Lenten Weekday</x:v>
      </x:c>
      <x:c r="E58" s="41" t="str">
        <x:v>Weekday</x:v>
      </x:c>
      <x:c r="F58" s="41" t="str">
        <x:v>Vol. II — Lent, Triduum &amp; Easter</x:v>
      </x:c>
      <x:c r="G58" s="42" t="str">
        <x:v>Psalter Week IV</x:v>
      </x:c>
      <x:c r="H58" s="42" t="str">
        <x:v>Proper of Seasons + Psalter Week IV; weekday Office of Readings.</x:v>
      </x:c>
      <x:c r="I58" s="42" t="str">
        <x:v>Proper of Seasons + Psalter Week IV; weekday Morning Prayer.</x:v>
      </x:c>
      <x:c r="J58" s="42" t="str">
        <x:v>Proper of Seasons + Psalter Week IV; choose Midmorning, Midday, or Midafternoon Prayer.</x:v>
      </x:c>
      <x:c r="K58" s="42" t="str">
        <x:v>Proper of Seasons + Psalter Week IV; weekday Evening Prayer.</x:v>
      </x:c>
      <x:c r="L58" s="42" t="str">
        <x:v>Night Prayer for Thursday.</x:v>
      </x:c>
      <x:c r="M5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59">
      <x:c r="A59" s="40" t="n">
        <x:v>46073</x:v>
      </x:c>
      <x:c r="B59" s="41" t="str">
        <x:v>Friday</x:v>
      </x:c>
      <x:c r="C59" s="134" t="str">
        <x:v>Lent</x:v>
      </x:c>
      <x:c r="D59" s="41" t="str">
        <x:v>Lenten Weekday</x:v>
      </x:c>
      <x:c r="E59" s="41" t="str">
        <x:v>Weekday</x:v>
      </x:c>
      <x:c r="F59" s="41" t="str">
        <x:v>Vol. II — Lent, Triduum &amp; Easter</x:v>
      </x:c>
      <x:c r="G59" s="42" t="str">
        <x:v>Psalter Week IV</x:v>
      </x:c>
      <x:c r="H59" s="42" t="str">
        <x:v>Proper of Seasons + Psalter Week IV; weekday Office of Readings.</x:v>
      </x:c>
      <x:c r="I59" s="42" t="str">
        <x:v>Proper of Seasons + Psalter Week IV; weekday Morning Prayer.</x:v>
      </x:c>
      <x:c r="J59" s="42" t="str">
        <x:v>Proper of Seasons + Psalter Week IV; choose Midmorning, Midday, or Midafternoon Prayer.</x:v>
      </x:c>
      <x:c r="K59" s="42" t="str">
        <x:v>Proper of Seasons + Psalter Week IV; weekday Evening Prayer.</x:v>
      </x:c>
      <x:c r="L59" s="42" t="str">
        <x:v>Night Prayer for Friday.</x:v>
      </x:c>
      <x:c r="M5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60">
      <x:c r="A60" s="40" t="n">
        <x:v>46074</x:v>
      </x:c>
      <x:c r="B60" s="41" t="str">
        <x:v>Saturday</x:v>
      </x:c>
      <x:c r="C60" s="134" t="str">
        <x:v>Lent</x:v>
      </x:c>
      <x:c r="D60" s="41" t="str">
        <x:v>Lenten Weekday</x:v>
      </x:c>
      <x:c r="E60" s="41" t="str">
        <x:v>Weekday</x:v>
      </x:c>
      <x:c r="F60" s="41" t="str">
        <x:v>Vol. II — Lent, Triduum &amp; Easter</x:v>
      </x:c>
      <x:c r="G60" s="42" t="str">
        <x:v>Psalter Week IV</x:v>
      </x:c>
      <x:c r="H60" s="42" t="str">
        <x:v>Proper of Seasons + Psalter Week IV; weekday Office of Readings. Optional memorial may be inserted from the Proper of Saints if chosen.</x:v>
      </x:c>
      <x:c r="I60" s="42" t="str">
        <x:v>Proper of Seasons + Psalter Week IV; weekday Morning Prayer. Optional memorial may be inserted from the Proper of Saints if chosen.</x:v>
      </x:c>
      <x:c r="J60" s="42" t="str">
        <x:v>Proper of Seasons + Psalter Week IV; choose Midmorning, Midday, or Midafternoon Prayer.</x:v>
      </x:c>
      <x:c r="K60" s="42" t="str">
        <x:v>First Vespers of Sunday: First Sunday of Lent — Proper of Seasons + tomorrow's Psalter week.</x:v>
      </x:c>
      <x:c r="L60" s="42" t="str">
        <x:v>Night Prayer I of Sunday after First Vespers.</x:v>
      </x:c>
      <x:c r="M60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61">
      <x:c r="A61" s="40" t="n">
        <x:v>46075</x:v>
      </x:c>
      <x:c r="B61" s="41" t="str">
        <x:v>Sunday</x:v>
      </x:c>
      <x:c r="C61" s="134" t="str">
        <x:v>Lent</x:v>
      </x:c>
      <x:c r="D61" s="41" t="str">
        <x:v>First Sunday of Lent</x:v>
      </x:c>
      <x:c r="E61" s="41" t="str">
        <x:v>Sunday</x:v>
      </x:c>
      <x:c r="F61" s="41" t="str">
        <x:v>Vol. II — Lent, Triduum &amp; Easter</x:v>
      </x:c>
      <x:c r="G61" s="42" t="str">
        <x:v>Psalter Week I</x:v>
      </x:c>
      <x:c r="H61" s="42" t="str">
        <x:v>Proper of Seasons + Psalter Week I; Office of Readings for Sunday.</x:v>
      </x:c>
      <x:c r="I61" s="42" t="str">
        <x:v>Proper of Seasons + Psalter Week I; Morning Prayer for Sunday.</x:v>
      </x:c>
      <x:c r="J61" s="42" t="str">
        <x:v>Psalter Week I; Sunday Daytime Prayer + seasonal proper.</x:v>
      </x:c>
      <x:c r="K61" s="42" t="str">
        <x:v>Evening Prayer II of Sunday — Proper of Seasons + Psalter Week I.</x:v>
      </x:c>
      <x:c r="L61" s="42" t="str">
        <x:v>Night Prayer II of Sunday.</x:v>
      </x:c>
      <x:c r="M61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62">
      <x:c r="A62" s="40" t="n">
        <x:v>46076</x:v>
      </x:c>
      <x:c r="B62" s="41" t="str">
        <x:v>Monday</x:v>
      </x:c>
      <x:c r="C62" s="134" t="str">
        <x:v>Lent</x:v>
      </x:c>
      <x:c r="D62" s="41" t="str">
        <x:v>Lenten Weekday</x:v>
      </x:c>
      <x:c r="E62" s="41" t="str">
        <x:v>Weekday</x:v>
      </x:c>
      <x:c r="F62" s="41" t="str">
        <x:v>Vol. II — Lent, Triduum &amp; Easter</x:v>
      </x:c>
      <x:c r="G62" s="42" t="str">
        <x:v>Psalter Week I</x:v>
      </x:c>
      <x:c r="H62" s="42" t="str">
        <x:v>Proper of Seasons + Psalter Week I; weekday Office of Readings.</x:v>
      </x:c>
      <x:c r="I62" s="42" t="str">
        <x:v>Proper of Seasons + Psalter Week I; weekday Morning Prayer.</x:v>
      </x:c>
      <x:c r="J62" s="42" t="str">
        <x:v>Proper of Seasons + Psalter Week I; choose Midmorning, Midday, or Midafternoon Prayer.</x:v>
      </x:c>
      <x:c r="K62" s="42" t="str">
        <x:v>Proper of Seasons + Psalter Week I; weekday Evening Prayer.</x:v>
      </x:c>
      <x:c r="L62" s="42" t="str">
        <x:v>Night Prayer for Monday.</x:v>
      </x:c>
      <x:c r="M6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63">
      <x:c r="A63" s="40" t="n">
        <x:v>46077</x:v>
      </x:c>
      <x:c r="B63" s="41" t="str">
        <x:v>Tuesday</x:v>
      </x:c>
      <x:c r="C63" s="134" t="str">
        <x:v>Lent</x:v>
      </x:c>
      <x:c r="D63" s="41" t="str">
        <x:v>Lenten Weekday</x:v>
      </x:c>
      <x:c r="E63" s="41" t="str">
        <x:v>Weekday</x:v>
      </x:c>
      <x:c r="F63" s="41" t="str">
        <x:v>Vol. II — Lent, Triduum &amp; Easter</x:v>
      </x:c>
      <x:c r="G63" s="42" t="str">
        <x:v>Psalter Week I</x:v>
      </x:c>
      <x:c r="H63" s="42" t="str">
        <x:v>Proper of Seasons + Psalter Week I; weekday Office of Readings.</x:v>
      </x:c>
      <x:c r="I63" s="42" t="str">
        <x:v>Proper of Seasons + Psalter Week I; weekday Morning Prayer.</x:v>
      </x:c>
      <x:c r="J63" s="42" t="str">
        <x:v>Proper of Seasons + Psalter Week I; choose Midmorning, Midday, or Midafternoon Prayer.</x:v>
      </x:c>
      <x:c r="K63" s="42" t="str">
        <x:v>Proper of Seasons + Psalter Week I; weekday Evening Prayer.</x:v>
      </x:c>
      <x:c r="L63" s="42" t="str">
        <x:v>Night Prayer for Tuesday.</x:v>
      </x:c>
      <x:c r="M6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64">
      <x:c r="A64" s="40" t="n">
        <x:v>46078</x:v>
      </x:c>
      <x:c r="B64" s="41" t="str">
        <x:v>Wednesday</x:v>
      </x:c>
      <x:c r="C64" s="134" t="str">
        <x:v>Lent</x:v>
      </x:c>
      <x:c r="D64" s="41" t="str">
        <x:v>Lenten Weekday</x:v>
      </x:c>
      <x:c r="E64" s="41" t="str">
        <x:v>Weekday</x:v>
      </x:c>
      <x:c r="F64" s="41" t="str">
        <x:v>Vol. II — Lent, Triduum &amp; Easter</x:v>
      </x:c>
      <x:c r="G64" s="42" t="str">
        <x:v>Psalter Week I</x:v>
      </x:c>
      <x:c r="H64" s="42" t="str">
        <x:v>Proper of Seasons + Psalter Week I; weekday Office of Readings.</x:v>
      </x:c>
      <x:c r="I64" s="42" t="str">
        <x:v>Proper of Seasons + Psalter Week I; weekday Morning Prayer.</x:v>
      </x:c>
      <x:c r="J64" s="42" t="str">
        <x:v>Proper of Seasons + Psalter Week I; choose Midmorning, Midday, or Midafternoon Prayer.</x:v>
      </x:c>
      <x:c r="K64" s="42" t="str">
        <x:v>Proper of Seasons + Psalter Week I; weekday Evening Prayer.</x:v>
      </x:c>
      <x:c r="L64" s="42" t="str">
        <x:v>Night Prayer for Wednesday.</x:v>
      </x:c>
      <x:c r="M6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65">
      <x:c r="A65" s="40" t="n">
        <x:v>46079</x:v>
      </x:c>
      <x:c r="B65" s="41" t="str">
        <x:v>Thursday</x:v>
      </x:c>
      <x:c r="C65" s="134" t="str">
        <x:v>Lent</x:v>
      </x:c>
      <x:c r="D65" s="41" t="str">
        <x:v>Lenten Weekday</x:v>
      </x:c>
      <x:c r="E65" s="41" t="str">
        <x:v>Weekday</x:v>
      </x:c>
      <x:c r="F65" s="41" t="str">
        <x:v>Vol. II — Lent, Triduum &amp; Easter</x:v>
      </x:c>
      <x:c r="G65" s="42" t="str">
        <x:v>Psalter Week I</x:v>
      </x:c>
      <x:c r="H65" s="42" t="str">
        <x:v>Proper of Seasons + Psalter Week I; weekday Office of Readings.</x:v>
      </x:c>
      <x:c r="I65" s="42" t="str">
        <x:v>Proper of Seasons + Psalter Week I; weekday Morning Prayer.</x:v>
      </x:c>
      <x:c r="J65" s="42" t="str">
        <x:v>Proper of Seasons + Psalter Week I; choose Midmorning, Midday, or Midafternoon Prayer.</x:v>
      </x:c>
      <x:c r="K65" s="42" t="str">
        <x:v>Proper of Seasons + Psalter Week I; weekday Evening Prayer.</x:v>
      </x:c>
      <x:c r="L65" s="42" t="str">
        <x:v>Night Prayer for Thursday.</x:v>
      </x:c>
      <x:c r="M6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66">
      <x:c r="A66" s="40" t="n">
        <x:v>46080</x:v>
      </x:c>
      <x:c r="B66" s="41" t="str">
        <x:v>Friday</x:v>
      </x:c>
      <x:c r="C66" s="134" t="str">
        <x:v>Lent</x:v>
      </x:c>
      <x:c r="D66" s="41" t="str">
        <x:v>Lenten Weekday</x:v>
      </x:c>
      <x:c r="E66" s="41" t="str">
        <x:v>Weekday</x:v>
      </x:c>
      <x:c r="F66" s="41" t="str">
        <x:v>Vol. II — Lent, Triduum &amp; Easter</x:v>
      </x:c>
      <x:c r="G66" s="42" t="str">
        <x:v>Psalter Week I</x:v>
      </x:c>
      <x:c r="H66" s="42" t="str">
        <x:v>Proper of Seasons + Psalter Week I; weekday Office of Readings. Optional memorial may be inserted from the Proper of Saints if chosen.</x:v>
      </x:c>
      <x:c r="I66" s="42" t="str">
        <x:v>Proper of Seasons + Psalter Week I; weekday Morning Prayer. Optional memorial may be inserted from the Proper of Saints if chosen.</x:v>
      </x:c>
      <x:c r="J66" s="42" t="str">
        <x:v>Proper of Seasons + Psalter Week I; choose Midmorning, Midday, or Midafternoon Prayer.</x:v>
      </x:c>
      <x:c r="K66" s="42" t="str">
        <x:v>Proper of Seasons + Psalter Week I; weekday Evening Prayer. Optional memorial may be inserted from the Proper of Saints if chosen.</x:v>
      </x:c>
      <x:c r="L66" s="42" t="str">
        <x:v>Night Prayer for Friday.</x:v>
      </x:c>
      <x:c r="M6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67">
      <x:c r="A67" s="40" t="n">
        <x:v>46081</x:v>
      </x:c>
      <x:c r="B67" s="41" t="str">
        <x:v>Saturday</x:v>
      </x:c>
      <x:c r="C67" s="134" t="str">
        <x:v>Lent</x:v>
      </x:c>
      <x:c r="D67" s="41" t="str">
        <x:v>Lenten Weekday</x:v>
      </x:c>
      <x:c r="E67" s="41" t="str">
        <x:v>Weekday</x:v>
      </x:c>
      <x:c r="F67" s="41" t="str">
        <x:v>Vol. II — Lent, Triduum &amp; Easter</x:v>
      </x:c>
      <x:c r="G67" s="42" t="str">
        <x:v>Psalter Week I</x:v>
      </x:c>
      <x:c r="H67" s="42" t="str">
        <x:v>Proper of Seasons + Psalter Week I; weekday Office of Readings.</x:v>
      </x:c>
      <x:c r="I67" s="42" t="str">
        <x:v>Proper of Seasons + Psalter Week I; weekday Morning Prayer.</x:v>
      </x:c>
      <x:c r="J67" s="42" t="str">
        <x:v>Proper of Seasons + Psalter Week I; choose Midmorning, Midday, or Midafternoon Prayer.</x:v>
      </x:c>
      <x:c r="K67" s="42" t="str">
        <x:v>First Vespers of Sunday: Second Sunday of Lent — Proper of Seasons + tomorrow's Psalter week.</x:v>
      </x:c>
      <x:c r="L67" s="42" t="str">
        <x:v>Night Prayer I of Sunday after First Vespers.</x:v>
      </x:c>
      <x:c r="M67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68">
      <x:c r="A68" s="40" t="n">
        <x:v>46082</x:v>
      </x:c>
      <x:c r="B68" s="41" t="str">
        <x:v>Sunday</x:v>
      </x:c>
      <x:c r="C68" s="134" t="str">
        <x:v>Lent</x:v>
      </x:c>
      <x:c r="D68" s="41" t="str">
        <x:v>Second Sunday of Lent</x:v>
      </x:c>
      <x:c r="E68" s="41" t="str">
        <x:v>Sunday</x:v>
      </x:c>
      <x:c r="F68" s="41" t="str">
        <x:v>Vol. II — Lent, Triduum &amp; Easter</x:v>
      </x:c>
      <x:c r="G68" s="42" t="str">
        <x:v>Psalter Week II</x:v>
      </x:c>
      <x:c r="H68" s="42" t="str">
        <x:v>Proper of Seasons + Psalter Week II; Office of Readings for Sunday.</x:v>
      </x:c>
      <x:c r="I68" s="42" t="str">
        <x:v>Proper of Seasons + Psalter Week II; Morning Prayer for Sunday.</x:v>
      </x:c>
      <x:c r="J68" s="42" t="str">
        <x:v>Psalter Week II; Sunday Daytime Prayer + seasonal proper.</x:v>
      </x:c>
      <x:c r="K68" s="42" t="str">
        <x:v>Evening Prayer II of Sunday — Proper of Seasons + Psalter Week II.</x:v>
      </x:c>
      <x:c r="L68" s="42" t="str">
        <x:v>Night Prayer II of Sunday.</x:v>
      </x:c>
      <x:c r="M68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69">
      <x:c r="A69" s="40" t="n">
        <x:v>46083</x:v>
      </x:c>
      <x:c r="B69" s="41" t="str">
        <x:v>Monday</x:v>
      </x:c>
      <x:c r="C69" s="134" t="str">
        <x:v>Lent</x:v>
      </x:c>
      <x:c r="D69" s="41" t="str">
        <x:v>Lenten Weekday</x:v>
      </x:c>
      <x:c r="E69" s="41" t="str">
        <x:v>Weekday</x:v>
      </x:c>
      <x:c r="F69" s="41" t="str">
        <x:v>Vol. II — Lent, Triduum &amp; Easter</x:v>
      </x:c>
      <x:c r="G69" s="42" t="str">
        <x:v>Psalter Week II</x:v>
      </x:c>
      <x:c r="H69" s="42" t="str">
        <x:v>Proper of Seasons + Psalter Week II; weekday Office of Readings.</x:v>
      </x:c>
      <x:c r="I69" s="42" t="str">
        <x:v>Proper of Seasons + Psalter Week II; weekday Morning Prayer.</x:v>
      </x:c>
      <x:c r="J69" s="42" t="str">
        <x:v>Proper of Seasons + Psalter Week II; choose Midmorning, Midday, or Midafternoon Prayer.</x:v>
      </x:c>
      <x:c r="K69" s="42" t="str">
        <x:v>Proper of Seasons + Psalter Week II; weekday Evening Prayer.</x:v>
      </x:c>
      <x:c r="L69" s="42" t="str">
        <x:v>Night Prayer for Monday.</x:v>
      </x:c>
      <x:c r="M6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0">
      <x:c r="A70" s="40" t="n">
        <x:v>46084</x:v>
      </x:c>
      <x:c r="B70" s="41" t="str">
        <x:v>Tuesday</x:v>
      </x:c>
      <x:c r="C70" s="134" t="str">
        <x:v>Lent</x:v>
      </x:c>
      <x:c r="D70" s="41" t="str">
        <x:v>Lenten Weekday</x:v>
      </x:c>
      <x:c r="E70" s="41" t="str">
        <x:v>Weekday</x:v>
      </x:c>
      <x:c r="F70" s="41" t="str">
        <x:v>Vol. II — Lent, Triduum &amp; Easter</x:v>
      </x:c>
      <x:c r="G70" s="42" t="str">
        <x:v>Psalter Week II</x:v>
      </x:c>
      <x:c r="H70" s="42" t="str">
        <x:v>Proper of Seasons + Psalter Week II; weekday Office of Readings. Optional memorial may be inserted from the Proper of Saints if chosen.</x:v>
      </x:c>
      <x:c r="I70" s="42" t="str">
        <x:v>Proper of Seasons + Psalter Week II; weekday Morning Prayer. Optional memorial may be inserted from the Proper of Saints if chosen.</x:v>
      </x:c>
      <x:c r="J70" s="42" t="str">
        <x:v>Proper of Seasons + Psalter Week II; choose Midmorning, Midday, or Midafternoon Prayer.</x:v>
      </x:c>
      <x:c r="K70" s="42" t="str">
        <x:v>Proper of Seasons + Psalter Week II; weekday Evening Prayer. Optional memorial may be inserted from the Proper of Saints if chosen.</x:v>
      </x:c>
      <x:c r="L70" s="42" t="str">
        <x:v>Night Prayer for Tuesday.</x:v>
      </x:c>
      <x:c r="M7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1">
      <x:c r="A71" s="40" t="n">
        <x:v>46085</x:v>
      </x:c>
      <x:c r="B71" s="41" t="str">
        <x:v>Wednesday</x:v>
      </x:c>
      <x:c r="C71" s="134" t="str">
        <x:v>Lent</x:v>
      </x:c>
      <x:c r="D71" s="41" t="str">
        <x:v>Lenten Weekday</x:v>
      </x:c>
      <x:c r="E71" s="41" t="str">
        <x:v>Weekday</x:v>
      </x:c>
      <x:c r="F71" s="41" t="str">
        <x:v>Vol. II — Lent, Triduum &amp; Easter</x:v>
      </x:c>
      <x:c r="G71" s="42" t="str">
        <x:v>Psalter Week II</x:v>
      </x:c>
      <x:c r="H71" s="42" t="str">
        <x:v>Proper of Seasons + Psalter Week II; weekday Office of Readings. Optional memorial may be inserted from the Proper of Saints if chosen.</x:v>
      </x:c>
      <x:c r="I71" s="42" t="str">
        <x:v>Proper of Seasons + Psalter Week II; weekday Morning Prayer. Optional memorial may be inserted from the Proper of Saints if chosen.</x:v>
      </x:c>
      <x:c r="J71" s="42" t="str">
        <x:v>Proper of Seasons + Psalter Week II; choose Midmorning, Midday, or Midafternoon Prayer.</x:v>
      </x:c>
      <x:c r="K71" s="42" t="str">
        <x:v>Proper of Seasons + Psalter Week II; weekday Evening Prayer. Optional memorial may be inserted from the Proper of Saints if chosen.</x:v>
      </x:c>
      <x:c r="L71" s="42" t="str">
        <x:v>Night Prayer for Wednesday.</x:v>
      </x:c>
      <x:c r="M7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2">
      <x:c r="A72" s="40" t="n">
        <x:v>46086</x:v>
      </x:c>
      <x:c r="B72" s="41" t="str">
        <x:v>Thursday</x:v>
      </x:c>
      <x:c r="C72" s="134" t="str">
        <x:v>Lent</x:v>
      </x:c>
      <x:c r="D72" s="41" t="str">
        <x:v>Lenten Weekday</x:v>
      </x:c>
      <x:c r="E72" s="41" t="str">
        <x:v>Weekday</x:v>
      </x:c>
      <x:c r="F72" s="41" t="str">
        <x:v>Vol. II — Lent, Triduum &amp; Easter</x:v>
      </x:c>
      <x:c r="G72" s="42" t="str">
        <x:v>Psalter Week II</x:v>
      </x:c>
      <x:c r="H72" s="42" t="str">
        <x:v>Proper of Seasons + Psalter Week II; weekday Office of Readings.</x:v>
      </x:c>
      <x:c r="I72" s="42" t="str">
        <x:v>Proper of Seasons + Psalter Week II; weekday Morning Prayer.</x:v>
      </x:c>
      <x:c r="J72" s="42" t="str">
        <x:v>Proper of Seasons + Psalter Week II; choose Midmorning, Midday, or Midafternoon Prayer.</x:v>
      </x:c>
      <x:c r="K72" s="42" t="str">
        <x:v>Proper of Seasons + Psalter Week II; weekday Evening Prayer.</x:v>
      </x:c>
      <x:c r="L72" s="42" t="str">
        <x:v>Night Prayer for Thursday.</x:v>
      </x:c>
      <x:c r="M7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3">
      <x:c r="A73" s="40" t="n">
        <x:v>46087</x:v>
      </x:c>
      <x:c r="B73" s="41" t="str">
        <x:v>Friday</x:v>
      </x:c>
      <x:c r="C73" s="134" t="str">
        <x:v>Lent</x:v>
      </x:c>
      <x:c r="D73" s="41" t="str">
        <x:v>Lenten Weekday</x:v>
      </x:c>
      <x:c r="E73" s="41" t="str">
        <x:v>Weekday</x:v>
      </x:c>
      <x:c r="F73" s="41" t="str">
        <x:v>Vol. II — Lent, Triduum &amp; Easter</x:v>
      </x:c>
      <x:c r="G73" s="42" t="str">
        <x:v>Psalter Week II</x:v>
      </x:c>
      <x:c r="H73" s="42" t="str">
        <x:v>Proper of Seasons + Psalter Week II; weekday Office of Readings.</x:v>
      </x:c>
      <x:c r="I73" s="42" t="str">
        <x:v>Proper of Seasons + Psalter Week II; weekday Morning Prayer.</x:v>
      </x:c>
      <x:c r="J73" s="42" t="str">
        <x:v>Proper of Seasons + Psalter Week II; choose Midmorning, Midday, or Midafternoon Prayer.</x:v>
      </x:c>
      <x:c r="K73" s="42" t="str">
        <x:v>Proper of Seasons + Psalter Week II; weekday Evening Prayer.</x:v>
      </x:c>
      <x:c r="L73" s="42" t="str">
        <x:v>Night Prayer for Friday.</x:v>
      </x:c>
      <x:c r="M7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4">
      <x:c r="A74" s="40" t="n">
        <x:v>46088</x:v>
      </x:c>
      <x:c r="B74" s="41" t="str">
        <x:v>Saturday</x:v>
      </x:c>
      <x:c r="C74" s="134" t="str">
        <x:v>Lent</x:v>
      </x:c>
      <x:c r="D74" s="41" t="str">
        <x:v>Lenten Weekday</x:v>
      </x:c>
      <x:c r="E74" s="41" t="str">
        <x:v>Weekday</x:v>
      </x:c>
      <x:c r="F74" s="41" t="str">
        <x:v>Vol. II — Lent, Triduum &amp; Easter</x:v>
      </x:c>
      <x:c r="G74" s="42" t="str">
        <x:v>Psalter Week II</x:v>
      </x:c>
      <x:c r="H74" s="42" t="str">
        <x:v>Proper of Seasons + Psalter Week II; weekday Office of Readings.</x:v>
      </x:c>
      <x:c r="I74" s="42" t="str">
        <x:v>Proper of Seasons + Psalter Week II; weekday Morning Prayer.</x:v>
      </x:c>
      <x:c r="J74" s="42" t="str">
        <x:v>Proper of Seasons + Psalter Week II; choose Midmorning, Midday, or Midafternoon Prayer.</x:v>
      </x:c>
      <x:c r="K74" s="42" t="str">
        <x:v>First Vespers of Sunday: Third Sunday of Lent — Proper of Seasons + tomorrow's Psalter week.</x:v>
      </x:c>
      <x:c r="L74" s="42" t="str">
        <x:v>Night Prayer I of Sunday after First Vespers.</x:v>
      </x:c>
      <x:c r="M74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75">
      <x:c r="A75" s="40" t="n">
        <x:v>46089</x:v>
      </x:c>
      <x:c r="B75" s="41" t="str">
        <x:v>Sunday</x:v>
      </x:c>
      <x:c r="C75" s="134" t="str">
        <x:v>Lent</x:v>
      </x:c>
      <x:c r="D75" s="41" t="str">
        <x:v>Third Sunday of Lent</x:v>
      </x:c>
      <x:c r="E75" s="41" t="str">
        <x:v>Sunday</x:v>
      </x:c>
      <x:c r="F75" s="41" t="str">
        <x:v>Vol. II — Lent, Triduum &amp; Easter</x:v>
      </x:c>
      <x:c r="G75" s="42" t="str">
        <x:v>Psalter Week III</x:v>
      </x:c>
      <x:c r="H75" s="42" t="str">
        <x:v>Proper of Seasons + Psalter Week III; Office of Readings for Sunday.</x:v>
      </x:c>
      <x:c r="I75" s="42" t="str">
        <x:v>Proper of Seasons + Psalter Week III; Morning Prayer for Sunday.</x:v>
      </x:c>
      <x:c r="J75" s="42" t="str">
        <x:v>Psalter Week III; Sunday Daytime Prayer + seasonal proper.</x:v>
      </x:c>
      <x:c r="K75" s="42" t="str">
        <x:v>Evening Prayer II of Sunday — Proper of Seasons + Psalter Week III.</x:v>
      </x:c>
      <x:c r="L75" s="42" t="str">
        <x:v>Night Prayer II of Sunday.</x:v>
      </x:c>
      <x:c r="M75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76">
      <x:c r="A76" s="40" t="n">
        <x:v>46090</x:v>
      </x:c>
      <x:c r="B76" s="41" t="str">
        <x:v>Monday</x:v>
      </x:c>
      <x:c r="C76" s="134" t="str">
        <x:v>Lent</x:v>
      </x:c>
      <x:c r="D76" s="41" t="str">
        <x:v>Lenten Weekday</x:v>
      </x:c>
      <x:c r="E76" s="41" t="str">
        <x:v>Weekday</x:v>
      </x:c>
      <x:c r="F76" s="41" t="str">
        <x:v>Vol. II — Lent, Triduum &amp; Easter</x:v>
      </x:c>
      <x:c r="G76" s="42" t="str">
        <x:v>Psalter Week III</x:v>
      </x:c>
      <x:c r="H76" s="42" t="str">
        <x:v>Proper of Seasons + Psalter Week III; weekday Office of Readings. Optional memorial may be inserted from the Proper of Saints if chosen.</x:v>
      </x:c>
      <x:c r="I76" s="42" t="str">
        <x:v>Proper of Seasons + Psalter Week III; weekday Morning Prayer. Optional memorial may be inserted from the Proper of Saints if chosen.</x:v>
      </x:c>
      <x:c r="J76" s="42" t="str">
        <x:v>Proper of Seasons + Psalter Week III; choose Midmorning, Midday, or Midafternoon Prayer.</x:v>
      </x:c>
      <x:c r="K76" s="42" t="str">
        <x:v>Proper of Seasons + Psalter Week III; weekday Evening Prayer. Optional memorial may be inserted from the Proper of Saints if chosen.</x:v>
      </x:c>
      <x:c r="L76" s="42" t="str">
        <x:v>Night Prayer for Monday.</x:v>
      </x:c>
      <x:c r="M7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7">
      <x:c r="A77" s="40" t="n">
        <x:v>46091</x:v>
      </x:c>
      <x:c r="B77" s="41" t="str">
        <x:v>Tuesday</x:v>
      </x:c>
      <x:c r="C77" s="134" t="str">
        <x:v>Lent</x:v>
      </x:c>
      <x:c r="D77" s="41" t="str">
        <x:v>Lenten Weekday</x:v>
      </x:c>
      <x:c r="E77" s="41" t="str">
        <x:v>Weekday</x:v>
      </x:c>
      <x:c r="F77" s="41" t="str">
        <x:v>Vol. II — Lent, Triduum &amp; Easter</x:v>
      </x:c>
      <x:c r="G77" s="42" t="str">
        <x:v>Psalter Week III</x:v>
      </x:c>
      <x:c r="H77" s="42" t="str">
        <x:v>Proper of Seasons + Psalter Week III; weekday Office of Readings.</x:v>
      </x:c>
      <x:c r="I77" s="42" t="str">
        <x:v>Proper of Seasons + Psalter Week III; weekday Morning Prayer.</x:v>
      </x:c>
      <x:c r="J77" s="42" t="str">
        <x:v>Proper of Seasons + Psalter Week III; choose Midmorning, Midday, or Midafternoon Prayer.</x:v>
      </x:c>
      <x:c r="K77" s="42" t="str">
        <x:v>Proper of Seasons + Psalter Week III; weekday Evening Prayer.</x:v>
      </x:c>
      <x:c r="L77" s="42" t="str">
        <x:v>Night Prayer for Tuesday.</x:v>
      </x:c>
      <x:c r="M7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8">
      <x:c r="A78" s="40" t="n">
        <x:v>46092</x:v>
      </x:c>
      <x:c r="B78" s="41" t="str">
        <x:v>Wednesday</x:v>
      </x:c>
      <x:c r="C78" s="134" t="str">
        <x:v>Lent</x:v>
      </x:c>
      <x:c r="D78" s="41" t="str">
        <x:v>Lenten Weekday</x:v>
      </x:c>
      <x:c r="E78" s="41" t="str">
        <x:v>Weekday</x:v>
      </x:c>
      <x:c r="F78" s="41" t="str">
        <x:v>Vol. II — Lent, Triduum &amp; Easter</x:v>
      </x:c>
      <x:c r="G78" s="42" t="str">
        <x:v>Psalter Week III</x:v>
      </x:c>
      <x:c r="H78" s="42" t="str">
        <x:v>Proper of Seasons + Psalter Week III; weekday Office of Readings.</x:v>
      </x:c>
      <x:c r="I78" s="42" t="str">
        <x:v>Proper of Seasons + Psalter Week III; weekday Morning Prayer.</x:v>
      </x:c>
      <x:c r="J78" s="42" t="str">
        <x:v>Proper of Seasons + Psalter Week III; choose Midmorning, Midday, or Midafternoon Prayer.</x:v>
      </x:c>
      <x:c r="K78" s="42" t="str">
        <x:v>Proper of Seasons + Psalter Week III; weekday Evening Prayer.</x:v>
      </x:c>
      <x:c r="L78" s="42" t="str">
        <x:v>Night Prayer for Wednesday.</x:v>
      </x:c>
      <x:c r="M7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79">
      <x:c r="A79" s="40" t="n">
        <x:v>46093</x:v>
      </x:c>
      <x:c r="B79" s="41" t="str">
        <x:v>Thursday</x:v>
      </x:c>
      <x:c r="C79" s="134" t="str">
        <x:v>Lent</x:v>
      </x:c>
      <x:c r="D79" s="41" t="str">
        <x:v>Lenten Weekday</x:v>
      </x:c>
      <x:c r="E79" s="41" t="str">
        <x:v>Weekday</x:v>
      </x:c>
      <x:c r="F79" s="41" t="str">
        <x:v>Vol. II — Lent, Triduum &amp; Easter</x:v>
      </x:c>
      <x:c r="G79" s="42" t="str">
        <x:v>Psalter Week III</x:v>
      </x:c>
      <x:c r="H79" s="42" t="str">
        <x:v>Proper of Seasons + Psalter Week III; weekday Office of Readings.</x:v>
      </x:c>
      <x:c r="I79" s="42" t="str">
        <x:v>Proper of Seasons + Psalter Week III; weekday Morning Prayer.</x:v>
      </x:c>
      <x:c r="J79" s="42" t="str">
        <x:v>Proper of Seasons + Psalter Week III; choose Midmorning, Midday, or Midafternoon Prayer.</x:v>
      </x:c>
      <x:c r="K79" s="42" t="str">
        <x:v>Proper of Seasons + Psalter Week III; weekday Evening Prayer.</x:v>
      </x:c>
      <x:c r="L79" s="42" t="str">
        <x:v>Night Prayer for Thursday.</x:v>
      </x:c>
      <x:c r="M7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80">
      <x:c r="A80" s="40" t="n">
        <x:v>46094</x:v>
      </x:c>
      <x:c r="B80" s="41" t="str">
        <x:v>Friday</x:v>
      </x:c>
      <x:c r="C80" s="134" t="str">
        <x:v>Lent</x:v>
      </x:c>
      <x:c r="D80" s="41" t="str">
        <x:v>Lenten Weekday</x:v>
      </x:c>
      <x:c r="E80" s="41" t="str">
        <x:v>Weekday</x:v>
      </x:c>
      <x:c r="F80" s="41" t="str">
        <x:v>Vol. II — Lent, Triduum &amp; Easter</x:v>
      </x:c>
      <x:c r="G80" s="42" t="str">
        <x:v>Psalter Week III</x:v>
      </x:c>
      <x:c r="H80" s="42" t="str">
        <x:v>Proper of Seasons + Psalter Week III; weekday Office of Readings.</x:v>
      </x:c>
      <x:c r="I80" s="42" t="str">
        <x:v>Proper of Seasons + Psalter Week III; weekday Morning Prayer.</x:v>
      </x:c>
      <x:c r="J80" s="42" t="str">
        <x:v>Proper of Seasons + Psalter Week III; choose Midmorning, Midday, or Midafternoon Prayer.</x:v>
      </x:c>
      <x:c r="K80" s="42" t="str">
        <x:v>Proper of Seasons + Psalter Week III; weekday Evening Prayer.</x:v>
      </x:c>
      <x:c r="L80" s="42" t="str">
        <x:v>Night Prayer for Friday.</x:v>
      </x:c>
      <x:c r="M8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81">
      <x:c r="A81" s="40" t="n">
        <x:v>46095</x:v>
      </x:c>
      <x:c r="B81" s="41" t="str">
        <x:v>Saturday</x:v>
      </x:c>
      <x:c r="C81" s="134" t="str">
        <x:v>Lent</x:v>
      </x:c>
      <x:c r="D81" s="41" t="str">
        <x:v>Lenten Weekday</x:v>
      </x:c>
      <x:c r="E81" s="41" t="str">
        <x:v>Weekday</x:v>
      </x:c>
      <x:c r="F81" s="41" t="str">
        <x:v>Vol. II — Lent, Triduum &amp; Easter</x:v>
      </x:c>
      <x:c r="G81" s="42" t="str">
        <x:v>Psalter Week III</x:v>
      </x:c>
      <x:c r="H81" s="42" t="str">
        <x:v>Proper of Seasons + Psalter Week III; weekday Office of Readings.</x:v>
      </x:c>
      <x:c r="I81" s="42" t="str">
        <x:v>Proper of Seasons + Psalter Week III; weekday Morning Prayer.</x:v>
      </x:c>
      <x:c r="J81" s="42" t="str">
        <x:v>Proper of Seasons + Psalter Week III; choose Midmorning, Midday, or Midafternoon Prayer.</x:v>
      </x:c>
      <x:c r="K81" s="42" t="str">
        <x:v>First Vespers of Sunday: Fourth Sunday of Lent — Laetare — Proper of Seasons + tomorrow's Psalter week.</x:v>
      </x:c>
      <x:c r="L81" s="42" t="str">
        <x:v>Night Prayer I of Sunday after First Vespers.</x:v>
      </x:c>
      <x:c r="M81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82">
      <x:c r="A82" s="40" t="n">
        <x:v>46096</x:v>
      </x:c>
      <x:c r="B82" s="41" t="str">
        <x:v>Sunday</x:v>
      </x:c>
      <x:c r="C82" s="134" t="str">
        <x:v>Lent</x:v>
      </x:c>
      <x:c r="D82" s="41" t="str">
        <x:v>Fourth Sunday of Lent — Laetare</x:v>
      </x:c>
      <x:c r="E82" s="41" t="str">
        <x:v>Sunday</x:v>
      </x:c>
      <x:c r="F82" s="41" t="str">
        <x:v>Vol. II — Lent, Triduum &amp; Easter</x:v>
      </x:c>
      <x:c r="G82" s="42" t="str">
        <x:v>Psalter Week IV</x:v>
      </x:c>
      <x:c r="H82" s="42" t="str">
        <x:v>Proper of Seasons + Psalter Week IV; Office of Readings for Sunday.</x:v>
      </x:c>
      <x:c r="I82" s="42" t="str">
        <x:v>Proper of Seasons + Psalter Week IV; Morning Prayer for Sunday.</x:v>
      </x:c>
      <x:c r="J82" s="42" t="str">
        <x:v>Psalter Week IV; Sunday Daytime Prayer + seasonal proper.</x:v>
      </x:c>
      <x:c r="K82" s="42" t="str">
        <x:v>Evening Prayer II of Sunday — Proper of Seasons + Psalter Week IV.</x:v>
      </x:c>
      <x:c r="L82" s="42" t="str">
        <x:v>Night Prayer II of Sunday.</x:v>
      </x:c>
      <x:c r="M82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83">
      <x:c r="A83" s="40" t="n">
        <x:v>46097</x:v>
      </x:c>
      <x:c r="B83" s="41" t="str">
        <x:v>Monday</x:v>
      </x:c>
      <x:c r="C83" s="134" t="str">
        <x:v>Lent</x:v>
      </x:c>
      <x:c r="D83" s="41" t="str">
        <x:v>Lenten Weekday</x:v>
      </x:c>
      <x:c r="E83" s="41" t="str">
        <x:v>Weekday</x:v>
      </x:c>
      <x:c r="F83" s="41" t="str">
        <x:v>Vol. II — Lent, Triduum &amp; Easter</x:v>
      </x:c>
      <x:c r="G83" s="42" t="str">
        <x:v>Psalter Week IV</x:v>
      </x:c>
      <x:c r="H83" s="42" t="str">
        <x:v>Proper of Seasons + Psalter Week IV; weekday Office of Readings.</x:v>
      </x:c>
      <x:c r="I83" s="42" t="str">
        <x:v>Proper of Seasons + Psalter Week IV; weekday Morning Prayer.</x:v>
      </x:c>
      <x:c r="J83" s="42" t="str">
        <x:v>Proper of Seasons + Psalter Week IV; choose Midmorning, Midday, or Midafternoon Prayer.</x:v>
      </x:c>
      <x:c r="K83" s="42" t="str">
        <x:v>Proper of Seasons + Psalter Week IV; weekday Evening Prayer.</x:v>
      </x:c>
      <x:c r="L83" s="42" t="str">
        <x:v>Night Prayer for Monday.</x:v>
      </x:c>
      <x:c r="M8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84">
      <x:c r="A84" s="40" t="n">
        <x:v>46098</x:v>
      </x:c>
      <x:c r="B84" s="41" t="str">
        <x:v>Tuesday</x:v>
      </x:c>
      <x:c r="C84" s="134" t="str">
        <x:v>Lent</x:v>
      </x:c>
      <x:c r="D84" s="41" t="str">
        <x:v>Lenten Weekday</x:v>
      </x:c>
      <x:c r="E84" s="41" t="str">
        <x:v>Weekday</x:v>
      </x:c>
      <x:c r="F84" s="41" t="str">
        <x:v>Vol. II — Lent, Triduum &amp; Easter</x:v>
      </x:c>
      <x:c r="G84" s="42" t="str">
        <x:v>Psalter Week IV</x:v>
      </x:c>
      <x:c r="H84" s="42" t="str">
        <x:v>Proper of Seasons + Psalter Week IV; weekday Office of Readings. Optional memorial may be inserted from the Proper of Saints if chosen.</x:v>
      </x:c>
      <x:c r="I84" s="42" t="str">
        <x:v>Proper of Seasons + Psalter Week IV; weekday Morning Prayer. Optional memorial may be inserted from the Proper of Saints if chosen.</x:v>
      </x:c>
      <x:c r="J84" s="42" t="str">
        <x:v>Proper of Seasons + Psalter Week IV; choose Midmorning, Midday, or Midafternoon Prayer.</x:v>
      </x:c>
      <x:c r="K84" s="42" t="str">
        <x:v>Proper of Seasons + Psalter Week IV; weekday Evening Prayer. Optional memorial may be inserted from the Proper of Saints if chosen.</x:v>
      </x:c>
      <x:c r="L84" s="42" t="str">
        <x:v>Night Prayer for Tuesday.</x:v>
      </x:c>
      <x:c r="M8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85">
      <x:c r="A85" s="40" t="n">
        <x:v>46099</x:v>
      </x:c>
      <x:c r="B85" s="41" t="str">
        <x:v>Wednesday</x:v>
      </x:c>
      <x:c r="C85" s="134" t="str">
        <x:v>Lent</x:v>
      </x:c>
      <x:c r="D85" s="41" t="str">
        <x:v>Lenten Weekday</x:v>
      </x:c>
      <x:c r="E85" s="41" t="str">
        <x:v>Weekday</x:v>
      </x:c>
      <x:c r="F85" s="41" t="str">
        <x:v>Vol. II — Lent, Triduum &amp; Easter</x:v>
      </x:c>
      <x:c r="G85" s="42" t="str">
        <x:v>Psalter Week IV</x:v>
      </x:c>
      <x:c r="H85" s="42" t="str">
        <x:v>Proper of Seasons + Psalter Week IV; weekday Office of Readings. Optional memorial may be inserted from the Proper of Saints if chosen.</x:v>
      </x:c>
      <x:c r="I85" s="42" t="str">
        <x:v>Proper of Seasons + Psalter Week IV; weekday Morning Prayer. Optional memorial may be inserted from the Proper of Saints if chosen.</x:v>
      </x:c>
      <x:c r="J85" s="42" t="str">
        <x:v>Proper of Seasons + Psalter Week IV; choose Midmorning, Midday, or Midafternoon Prayer.</x:v>
      </x:c>
      <x:c r="K85" s="42" t="str">
        <x:v>First Vespers of tomorrow's solemnity: Saint Joseph, Spouse of the Blessed Virgin Mary — Proper/Common as directed.</x:v>
      </x:c>
      <x:c r="L85" s="42" t="str">
        <x:v>Night Prayer I of Sunday/Solemnity after First Vespers.</x:v>
      </x:c>
      <x:c r="M85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</x:v>
      </x:c>
    </x:row>
    <x:row r="86">
      <x:c r="A86" s="40" t="n">
        <x:v>46100</x:v>
      </x:c>
      <x:c r="B86" s="41" t="str">
        <x:v>Thursday</x:v>
      </x:c>
      <x:c r="C86" s="134" t="str">
        <x:v>Lent</x:v>
      </x:c>
      <x:c r="D86" s="131" t="str">
        <x:v>Saint Joseph, Spouse of the Blessed Virgin Mary</x:v>
      </x:c>
      <x:c r="E86" s="131" t="str">
        <x:v>Solemnity</x:v>
      </x:c>
      <x:c r="F86" s="131" t="str">
        <x:v>Vol. II — Lent, Triduum &amp; Easter</x:v>
      </x:c>
      <x:c r="G86" s="132" t="str">
        <x:v>Proper / Common</x:v>
      </x:c>
      <x:c r="H86" s="42" t="str">
        <x:v>Proper of Seasons/Saints → Solemnity; use Common only where the proper directs.</x:v>
      </x:c>
      <x:c r="I86" s="42" t="str">
        <x:v>Proper of Seasons/Saints → Morning Prayer of the solemnity.</x:v>
      </x:c>
      <x:c r="J86" s="42" t="str">
        <x:v>Daytime Prayer of the solemnity; use complementary psalmody if the rubric directs.</x:v>
      </x:c>
      <x:c r="K86" s="42" t="str">
        <x:v>Evening Prayer II of the solemnity (Proper/Common as directed).</x:v>
      </x:c>
      <x:c r="L86" s="42" t="str">
        <x:v>Night Prayer II of Sunday/Solemnity after Evening Prayer II.</x:v>
      </x:c>
      <x:c r="M86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87">
      <x:c r="A87" s="40" t="n">
        <x:v>46101</x:v>
      </x:c>
      <x:c r="B87" s="41" t="str">
        <x:v>Friday</x:v>
      </x:c>
      <x:c r="C87" s="134" t="str">
        <x:v>Lent</x:v>
      </x:c>
      <x:c r="D87" s="41" t="str">
        <x:v>Lenten Weekday</x:v>
      </x:c>
      <x:c r="E87" s="41" t="str">
        <x:v>Weekday</x:v>
      </x:c>
      <x:c r="F87" s="41" t="str">
        <x:v>Vol. II — Lent, Triduum &amp; Easter</x:v>
      </x:c>
      <x:c r="G87" s="42" t="str">
        <x:v>Psalter Week IV</x:v>
      </x:c>
      <x:c r="H87" s="42" t="str">
        <x:v>Proper of Seasons + Psalter Week IV; weekday Office of Readings.</x:v>
      </x:c>
      <x:c r="I87" s="42" t="str">
        <x:v>Proper of Seasons + Psalter Week IV; weekday Morning Prayer.</x:v>
      </x:c>
      <x:c r="J87" s="42" t="str">
        <x:v>Proper of Seasons + Psalter Week IV; choose Midmorning, Midday, or Midafternoon Prayer.</x:v>
      </x:c>
      <x:c r="K87" s="42" t="str">
        <x:v>Proper of Seasons + Psalter Week IV; weekday Evening Prayer.</x:v>
      </x:c>
      <x:c r="L87" s="42" t="str">
        <x:v>Night Prayer for Friday.</x:v>
      </x:c>
      <x:c r="M8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88">
      <x:c r="A88" s="40" t="n">
        <x:v>46102</x:v>
      </x:c>
      <x:c r="B88" s="41" t="str">
        <x:v>Saturday</x:v>
      </x:c>
      <x:c r="C88" s="134" t="str">
        <x:v>Lent</x:v>
      </x:c>
      <x:c r="D88" s="41" t="str">
        <x:v>Lenten Weekday</x:v>
      </x:c>
      <x:c r="E88" s="41" t="str">
        <x:v>Weekday</x:v>
      </x:c>
      <x:c r="F88" s="41" t="str">
        <x:v>Vol. II — Lent, Triduum &amp; Easter</x:v>
      </x:c>
      <x:c r="G88" s="42" t="str">
        <x:v>Psalter Week IV</x:v>
      </x:c>
      <x:c r="H88" s="42" t="str">
        <x:v>Proper of Seasons + Psalter Week IV; weekday Office of Readings.</x:v>
      </x:c>
      <x:c r="I88" s="42" t="str">
        <x:v>Proper of Seasons + Psalter Week IV; weekday Morning Prayer.</x:v>
      </x:c>
      <x:c r="J88" s="42" t="str">
        <x:v>Proper of Seasons + Psalter Week IV; choose Midmorning, Midday, or Midafternoon Prayer.</x:v>
      </x:c>
      <x:c r="K88" s="42" t="str">
        <x:v>First Vespers of Sunday: Fifth Sunday of Lent — Proper of Seasons + tomorrow's Psalter week.</x:v>
      </x:c>
      <x:c r="L88" s="42" t="str">
        <x:v>Night Prayer I of Sunday after First Vespers.</x:v>
      </x:c>
      <x:c r="M88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89">
      <x:c r="A89" s="40" t="n">
        <x:v>46103</x:v>
      </x:c>
      <x:c r="B89" s="41" t="str">
        <x:v>Sunday</x:v>
      </x:c>
      <x:c r="C89" s="134" t="str">
        <x:v>Lent</x:v>
      </x:c>
      <x:c r="D89" s="41" t="str">
        <x:v>Fifth Sunday of Lent</x:v>
      </x:c>
      <x:c r="E89" s="41" t="str">
        <x:v>Sunday</x:v>
      </x:c>
      <x:c r="F89" s="41" t="str">
        <x:v>Vol. II — Lent, Triduum &amp; Easter</x:v>
      </x:c>
      <x:c r="G89" s="42" t="str">
        <x:v>Psalter Week I</x:v>
      </x:c>
      <x:c r="H89" s="42" t="str">
        <x:v>Proper of Seasons + Psalter Week I; Office of Readings for Sunday.</x:v>
      </x:c>
      <x:c r="I89" s="42" t="str">
        <x:v>Proper of Seasons + Psalter Week I; Morning Prayer for Sunday.</x:v>
      </x:c>
      <x:c r="J89" s="42" t="str">
        <x:v>Psalter Week I; Sunday Daytime Prayer + seasonal proper.</x:v>
      </x:c>
      <x:c r="K89" s="42" t="str">
        <x:v>Evening Prayer II of Sunday — Proper of Seasons + Psalter Week I.</x:v>
      </x:c>
      <x:c r="L89" s="42" t="str">
        <x:v>Night Prayer II of Sunday.</x:v>
      </x:c>
      <x:c r="M89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90">
      <x:c r="A90" s="40" t="n">
        <x:v>46104</x:v>
      </x:c>
      <x:c r="B90" s="41" t="str">
        <x:v>Monday</x:v>
      </x:c>
      <x:c r="C90" s="134" t="str">
        <x:v>Lent</x:v>
      </x:c>
      <x:c r="D90" s="41" t="str">
        <x:v>Lenten Weekday</x:v>
      </x:c>
      <x:c r="E90" s="41" t="str">
        <x:v>Weekday</x:v>
      </x:c>
      <x:c r="F90" s="41" t="str">
        <x:v>Vol. II — Lent, Triduum &amp; Easter</x:v>
      </x:c>
      <x:c r="G90" s="42" t="str">
        <x:v>Psalter Week I</x:v>
      </x:c>
      <x:c r="H90" s="42" t="str">
        <x:v>Proper of Seasons + Psalter Week I; weekday Office of Readings. Optional memorial may be inserted from the Proper of Saints if chosen.</x:v>
      </x:c>
      <x:c r="I90" s="42" t="str">
        <x:v>Proper of Seasons + Psalter Week I; weekday Morning Prayer. Optional memorial may be inserted from the Proper of Saints if chosen.</x:v>
      </x:c>
      <x:c r="J90" s="42" t="str">
        <x:v>Proper of Seasons + Psalter Week I; choose Midmorning, Midday, or Midafternoon Prayer.</x:v>
      </x:c>
      <x:c r="K90" s="42" t="str">
        <x:v>Proper of Seasons + Psalter Week I; weekday Evening Prayer. Optional memorial may be inserted from the Proper of Saints if chosen.</x:v>
      </x:c>
      <x:c r="L90" s="42" t="str">
        <x:v>Night Prayer for Monday.</x:v>
      </x:c>
      <x:c r="M9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91">
      <x:c r="A91" s="40" t="n">
        <x:v>46105</x:v>
      </x:c>
      <x:c r="B91" s="41" t="str">
        <x:v>Tuesday</x:v>
      </x:c>
      <x:c r="C91" s="134" t="str">
        <x:v>Lent</x:v>
      </x:c>
      <x:c r="D91" s="41" t="str">
        <x:v>Lenten Weekday</x:v>
      </x:c>
      <x:c r="E91" s="41" t="str">
        <x:v>Weekday</x:v>
      </x:c>
      <x:c r="F91" s="41" t="str">
        <x:v>Vol. II — Lent, Triduum &amp; Easter</x:v>
      </x:c>
      <x:c r="G91" s="42" t="str">
        <x:v>Psalter Week I</x:v>
      </x:c>
      <x:c r="H91" s="42" t="str">
        <x:v>Proper of Seasons + Psalter Week I; weekday Office of Readings.</x:v>
      </x:c>
      <x:c r="I91" s="42" t="str">
        <x:v>Proper of Seasons + Psalter Week I; weekday Morning Prayer.</x:v>
      </x:c>
      <x:c r="J91" s="42" t="str">
        <x:v>Proper of Seasons + Psalter Week I; choose Midmorning, Midday, or Midafternoon Prayer.</x:v>
      </x:c>
      <x:c r="K91" s="42" t="str">
        <x:v>First Vespers of tomorrow's solemnity: Annunciation of the Lord — Proper/Common as directed.</x:v>
      </x:c>
      <x:c r="L91" s="42" t="str">
        <x:v>Night Prayer I of Sunday/Solemnity after First Vespers.</x:v>
      </x:c>
      <x:c r="M91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</x:v>
      </x:c>
    </x:row>
    <x:row r="92">
      <x:c r="A92" s="40" t="n">
        <x:v>46106</x:v>
      </x:c>
      <x:c r="B92" s="41" t="str">
        <x:v>Wednesday</x:v>
      </x:c>
      <x:c r="C92" s="134" t="str">
        <x:v>Lent</x:v>
      </x:c>
      <x:c r="D92" s="131" t="str">
        <x:v>Annunciation of the Lord</x:v>
      </x:c>
      <x:c r="E92" s="131" t="str">
        <x:v>Solemnity</x:v>
      </x:c>
      <x:c r="F92" s="131" t="str">
        <x:v>Vol. II — Lent, Triduum &amp; Easter</x:v>
      </x:c>
      <x:c r="G92" s="132" t="str">
        <x:v>Proper / Common</x:v>
      </x:c>
      <x:c r="H92" s="42" t="str">
        <x:v>Proper of Seasons/Saints → Solemnity; use Common only where the proper directs.</x:v>
      </x:c>
      <x:c r="I92" s="42" t="str">
        <x:v>Proper of Seasons/Saints → Morning Prayer of the solemnity.</x:v>
      </x:c>
      <x:c r="J92" s="42" t="str">
        <x:v>Daytime Prayer of the solemnity; use complementary psalmody if the rubric directs.</x:v>
      </x:c>
      <x:c r="K92" s="42" t="str">
        <x:v>Evening Prayer II of the solemnity (Proper/Common as directed).</x:v>
      </x:c>
      <x:c r="L92" s="42" t="str">
        <x:v>Night Prayer II of Sunday/Solemnity after Evening Prayer II.</x:v>
      </x:c>
      <x:c r="M92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93">
      <x:c r="A93" s="40" t="n">
        <x:v>46107</x:v>
      </x:c>
      <x:c r="B93" s="41" t="str">
        <x:v>Thursday</x:v>
      </x:c>
      <x:c r="C93" s="134" t="str">
        <x:v>Lent</x:v>
      </x:c>
      <x:c r="D93" s="41" t="str">
        <x:v>Lenten Weekday</x:v>
      </x:c>
      <x:c r="E93" s="41" t="str">
        <x:v>Weekday</x:v>
      </x:c>
      <x:c r="F93" s="41" t="str">
        <x:v>Vol. II — Lent, Triduum &amp; Easter</x:v>
      </x:c>
      <x:c r="G93" s="42" t="str">
        <x:v>Psalter Week I</x:v>
      </x:c>
      <x:c r="H93" s="42" t="str">
        <x:v>Proper of Seasons + Psalter Week I; weekday Office of Readings.</x:v>
      </x:c>
      <x:c r="I93" s="42" t="str">
        <x:v>Proper of Seasons + Psalter Week I; weekday Morning Prayer.</x:v>
      </x:c>
      <x:c r="J93" s="42" t="str">
        <x:v>Proper of Seasons + Psalter Week I; choose Midmorning, Midday, or Midafternoon Prayer.</x:v>
      </x:c>
      <x:c r="K93" s="42" t="str">
        <x:v>Proper of Seasons + Psalter Week I; weekday Evening Prayer.</x:v>
      </x:c>
      <x:c r="L93" s="42" t="str">
        <x:v>Night Prayer for Thursday.</x:v>
      </x:c>
      <x:c r="M9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94">
      <x:c r="A94" s="40" t="n">
        <x:v>46108</x:v>
      </x:c>
      <x:c r="B94" s="41" t="str">
        <x:v>Friday</x:v>
      </x:c>
      <x:c r="C94" s="134" t="str">
        <x:v>Lent</x:v>
      </x:c>
      <x:c r="D94" s="41" t="str">
        <x:v>Lenten Weekday</x:v>
      </x:c>
      <x:c r="E94" s="41" t="str">
        <x:v>Weekday</x:v>
      </x:c>
      <x:c r="F94" s="41" t="str">
        <x:v>Vol. II — Lent, Triduum &amp; Easter</x:v>
      </x:c>
      <x:c r="G94" s="42" t="str">
        <x:v>Psalter Week I</x:v>
      </x:c>
      <x:c r="H94" s="42" t="str">
        <x:v>Proper of Seasons + Psalter Week I; weekday Office of Readings.</x:v>
      </x:c>
      <x:c r="I94" s="42" t="str">
        <x:v>Proper of Seasons + Psalter Week I; weekday Morning Prayer.</x:v>
      </x:c>
      <x:c r="J94" s="42" t="str">
        <x:v>Proper of Seasons + Psalter Week I; choose Midmorning, Midday, or Midafternoon Prayer.</x:v>
      </x:c>
      <x:c r="K94" s="42" t="str">
        <x:v>Proper of Seasons + Psalter Week I; weekday Evening Prayer.</x:v>
      </x:c>
      <x:c r="L94" s="42" t="str">
        <x:v>Night Prayer for Friday.</x:v>
      </x:c>
      <x:c r="M9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95">
      <x:c r="A95" s="40" t="n">
        <x:v>46109</x:v>
      </x:c>
      <x:c r="B95" s="41" t="str">
        <x:v>Saturday</x:v>
      </x:c>
      <x:c r="C95" s="134" t="str">
        <x:v>Lent</x:v>
      </x:c>
      <x:c r="D95" s="41" t="str">
        <x:v>Lenten Weekday</x:v>
      </x:c>
      <x:c r="E95" s="41" t="str">
        <x:v>Weekday</x:v>
      </x:c>
      <x:c r="F95" s="41" t="str">
        <x:v>Vol. II — Lent, Triduum &amp; Easter</x:v>
      </x:c>
      <x:c r="G95" s="42" t="str">
        <x:v>Psalter Week I</x:v>
      </x:c>
      <x:c r="H95" s="42" t="str">
        <x:v>Proper of Seasons + Psalter Week I; weekday Office of Readings.</x:v>
      </x:c>
      <x:c r="I95" s="42" t="str">
        <x:v>Proper of Seasons + Psalter Week I; weekday Morning Prayer.</x:v>
      </x:c>
      <x:c r="J95" s="42" t="str">
        <x:v>Proper of Seasons + Psalter Week I; choose Midmorning, Midday, or Midafternoon Prayer.</x:v>
      </x:c>
      <x:c r="K95" s="42" t="str">
        <x:v>First Vespers of Sunday: Palm Sunday of the Passion of the Lord — Proper of Seasons + tomorrow's Psalter week.</x:v>
      </x:c>
      <x:c r="L95" s="42" t="str">
        <x:v>Night Prayer I of Sunday after First Vespers.</x:v>
      </x:c>
      <x:c r="M95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96">
      <x:c r="A96" s="40" t="n">
        <x:v>46110</x:v>
      </x:c>
      <x:c r="B96" s="41" t="str">
        <x:v>Sunday</x:v>
      </x:c>
      <x:c r="C96" s="134" t="str">
        <x:v>Lent</x:v>
      </x:c>
      <x:c r="D96" s="41" t="str">
        <x:v>Palm Sunday of the Passion of the Lord</x:v>
      </x:c>
      <x:c r="E96" s="41" t="str">
        <x:v>Sunday</x:v>
      </x:c>
      <x:c r="F96" s="41" t="str">
        <x:v>Vol. II — Lent, Triduum &amp; Easter</x:v>
      </x:c>
      <x:c r="G96" s="42" t="str">
        <x:v>Psalter Week II</x:v>
      </x:c>
      <x:c r="H96" s="42" t="str">
        <x:v>Proper of Seasons + Psalter Week II; Office of Readings for Sunday.</x:v>
      </x:c>
      <x:c r="I96" s="42" t="str">
        <x:v>Proper of Seasons + Psalter Week II; Morning Prayer for Sunday.</x:v>
      </x:c>
      <x:c r="J96" s="42" t="str">
        <x:v>Psalter Week II; Sunday Daytime Prayer + seasonal proper.</x:v>
      </x:c>
      <x:c r="K96" s="42" t="str">
        <x:v>Evening Prayer II of Sunday — Proper of Seasons + Psalter Week II.</x:v>
      </x:c>
      <x:c r="L96" s="42" t="str">
        <x:v>Night Prayer II of Sunday.</x:v>
      </x:c>
      <x:c r="M96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97">
      <x:c r="A97" s="40" t="n">
        <x:v>46111</x:v>
      </x:c>
      <x:c r="B97" s="41" t="str">
        <x:v>Monday</x:v>
      </x:c>
      <x:c r="C97" s="134" t="str">
        <x:v>Lent</x:v>
      </x:c>
      <x:c r="D97" s="41" t="str">
        <x:v>Lenten Weekday</x:v>
      </x:c>
      <x:c r="E97" s="41" t="str">
        <x:v>Weekday</x:v>
      </x:c>
      <x:c r="F97" s="41" t="str">
        <x:v>Vol. II — Lent, Triduum &amp; Easter</x:v>
      </x:c>
      <x:c r="G97" s="42" t="str">
        <x:v>Psalter Week II</x:v>
      </x:c>
      <x:c r="H97" s="42" t="str">
        <x:v>Proper of Seasons + Psalter Week II; weekday Office of Readings.</x:v>
      </x:c>
      <x:c r="I97" s="42" t="str">
        <x:v>Proper of Seasons + Psalter Week II; weekday Morning Prayer.</x:v>
      </x:c>
      <x:c r="J97" s="42" t="str">
        <x:v>Proper of Seasons + Psalter Week II; choose Midmorning, Midday, or Midafternoon Prayer.</x:v>
      </x:c>
      <x:c r="K97" s="42" t="str">
        <x:v>Proper of Seasons + Psalter Week II; weekday Evening Prayer.</x:v>
      </x:c>
      <x:c r="L97" s="42" t="str">
        <x:v>Night Prayer for Monday.</x:v>
      </x:c>
      <x:c r="M9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98">
      <x:c r="A98" s="40" t="n">
        <x:v>46112</x:v>
      </x:c>
      <x:c r="B98" s="41" t="str">
        <x:v>Tuesday</x:v>
      </x:c>
      <x:c r="C98" s="134" t="str">
        <x:v>Lent</x:v>
      </x:c>
      <x:c r="D98" s="41" t="str">
        <x:v>Lenten Weekday</x:v>
      </x:c>
      <x:c r="E98" s="41" t="str">
        <x:v>Weekday</x:v>
      </x:c>
      <x:c r="F98" s="41" t="str">
        <x:v>Vol. II — Lent, Triduum &amp; Easter</x:v>
      </x:c>
      <x:c r="G98" s="42" t="str">
        <x:v>Psalter Week II</x:v>
      </x:c>
      <x:c r="H98" s="42" t="str">
        <x:v>Proper of Seasons + Psalter Week II; weekday Office of Readings.</x:v>
      </x:c>
      <x:c r="I98" s="42" t="str">
        <x:v>Proper of Seasons + Psalter Week II; weekday Morning Prayer.</x:v>
      </x:c>
      <x:c r="J98" s="42" t="str">
        <x:v>Proper of Seasons + Psalter Week II; choose Midmorning, Midday, or Midafternoon Prayer.</x:v>
      </x:c>
      <x:c r="K98" s="42" t="str">
        <x:v>Proper of Seasons + Psalter Week II; weekday Evening Prayer.</x:v>
      </x:c>
      <x:c r="L98" s="42" t="str">
        <x:v>Night Prayer for Tuesday.</x:v>
      </x:c>
      <x:c r="M9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99">
      <x:c r="A99" s="40" t="n">
        <x:v>46113</x:v>
      </x:c>
      <x:c r="B99" s="41" t="str">
        <x:v>Wednesday</x:v>
      </x:c>
      <x:c r="C99" s="134" t="str">
        <x:v>Lent</x:v>
      </x:c>
      <x:c r="D99" s="41" t="str">
        <x:v>Lenten Weekday</x:v>
      </x:c>
      <x:c r="E99" s="41" t="str">
        <x:v>Weekday</x:v>
      </x:c>
      <x:c r="F99" s="41" t="str">
        <x:v>Vol. II — Lent, Triduum &amp; Easter</x:v>
      </x:c>
      <x:c r="G99" s="42" t="str">
        <x:v>Psalter Week II</x:v>
      </x:c>
      <x:c r="H99" s="42" t="str">
        <x:v>Proper of Seasons + Psalter Week II; weekday Office of Readings.</x:v>
      </x:c>
      <x:c r="I99" s="42" t="str">
        <x:v>Proper of Seasons + Psalter Week II; weekday Morning Prayer.</x:v>
      </x:c>
      <x:c r="J99" s="42" t="str">
        <x:v>Proper of Seasons + Psalter Week II; choose Midmorning, Midday, or Midafternoon Prayer.</x:v>
      </x:c>
      <x:c r="K99" s="42" t="str">
        <x:v>Proper of Seasons + Psalter Week II; weekday Evening Prayer.</x:v>
      </x:c>
      <x:c r="L99" s="42" t="str">
        <x:v>Night Prayer for Wednesday.</x:v>
      </x:c>
      <x:c r="M9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00">
      <x:c r="A100" s="40" t="n">
        <x:v>46114</x:v>
      </x:c>
      <x:c r="B100" s="41" t="str">
        <x:v>Thursday</x:v>
      </x:c>
      <x:c r="C100" s="135" t="str">
        <x:v>Sacred Triduum</x:v>
      </x:c>
      <x:c r="D100" s="131" t="str">
        <x:v>Holy Thursday</x:v>
      </x:c>
      <x:c r="E100" s="131" t="str">
        <x:v>Sacred Triduum</x:v>
      </x:c>
      <x:c r="F100" s="131" t="str">
        <x:v>Vol. II — Lent, Triduum &amp; Easter</x:v>
      </x:c>
      <x:c r="G100" s="132" t="str">
        <x:v>Proper / Common</x:v>
      </x:c>
      <x:c r="H100" s="42" t="str">
        <x:v>Proper of Seasons → Sacred Triduum; use the proper Office of Readings.</x:v>
      </x:c>
      <x:c r="I100" s="42" t="str">
        <x:v>Proper of Seasons → Sacred Triduum; use proper Morning Prayer.</x:v>
      </x:c>
      <x:c r="J100" s="42" t="str">
        <x:v>Proper of Seasons → Sacred Triduum; follow the proper Daytime Prayer/rubrics.</x:v>
      </x:c>
      <x:c r="K100" s="42" t="str">
        <x:v>Proper of Seasons → Sacred Triduum; use the proper evening office for the day.</x:v>
      </x:c>
      <x:c r="L100" s="42" t="str">
        <x:v>Proper of Seasons → Sacred Triduum; follow the Night Prayer rubric for the day.</x:v>
      </x:c>
      <x:c r="M100" s="42" t="str">
        <x:v>Triduum offices are highly proper; use the approved edition's rubrics rather than the ordinary weekday layout.
https://www.usccb.org/resources/2026cal.pdf
https://www.usccb.org/prayer-and-worship/liturgy-of-the-hours</x:v>
      </x:c>
    </x:row>
    <x:row r="101">
      <x:c r="A101" s="40" t="n">
        <x:v>46115</x:v>
      </x:c>
      <x:c r="B101" s="41" t="str">
        <x:v>Friday</x:v>
      </x:c>
      <x:c r="C101" s="135" t="str">
        <x:v>Sacred Triduum</x:v>
      </x:c>
      <x:c r="D101" s="131" t="str">
        <x:v>Good Friday of the Passion of the Lord</x:v>
      </x:c>
      <x:c r="E101" s="131" t="str">
        <x:v>Sacred Triduum</x:v>
      </x:c>
      <x:c r="F101" s="131" t="str">
        <x:v>Vol. II — Lent, Triduum &amp; Easter</x:v>
      </x:c>
      <x:c r="G101" s="132" t="str">
        <x:v>Proper / Common</x:v>
      </x:c>
      <x:c r="H101" s="42" t="str">
        <x:v>Proper of Seasons → Sacred Triduum; use the proper Office of Readings.</x:v>
      </x:c>
      <x:c r="I101" s="42" t="str">
        <x:v>Proper of Seasons → Sacred Triduum; use proper Morning Prayer.</x:v>
      </x:c>
      <x:c r="J101" s="42" t="str">
        <x:v>Proper of Seasons → Sacred Triduum; follow the proper Daytime Prayer/rubrics.</x:v>
      </x:c>
      <x:c r="K101" s="42" t="str">
        <x:v>Proper of Seasons → Sacred Triduum; use the proper evening office for the day.</x:v>
      </x:c>
      <x:c r="L101" s="42" t="str">
        <x:v>Proper of Seasons → Sacred Triduum; follow the Night Prayer rubric for the day.</x:v>
      </x:c>
      <x:c r="M101" s="42" t="str">
        <x:v>Triduum offices are highly proper; use the approved edition's rubrics rather than the ordinary weekday layout.
https://www.usccb.org/resources/2026cal.pdf
https://www.usccb.org/prayer-and-worship/liturgy-of-the-hours</x:v>
      </x:c>
    </x:row>
    <x:row r="102">
      <x:c r="A102" s="40" t="n">
        <x:v>46116</x:v>
      </x:c>
      <x:c r="B102" s="41" t="str">
        <x:v>Saturday</x:v>
      </x:c>
      <x:c r="C102" s="135" t="str">
        <x:v>Sacred Triduum</x:v>
      </x:c>
      <x:c r="D102" s="131" t="str">
        <x:v>Holy Saturday / Easter Vigil</x:v>
      </x:c>
      <x:c r="E102" s="131" t="str">
        <x:v>Sacred Triduum</x:v>
      </x:c>
      <x:c r="F102" s="131" t="str">
        <x:v>Vol. II — Lent, Triduum &amp; Easter</x:v>
      </x:c>
      <x:c r="G102" s="132" t="str">
        <x:v>Proper / Common</x:v>
      </x:c>
      <x:c r="H102" s="42" t="str">
        <x:v>Proper of Seasons → Sacred Triduum; use the proper Office of Readings.</x:v>
      </x:c>
      <x:c r="I102" s="42" t="str">
        <x:v>Proper of Seasons → Sacred Triduum; use proper Morning Prayer.</x:v>
      </x:c>
      <x:c r="J102" s="42" t="str">
        <x:v>Proper of Seasons → Sacred Triduum; follow the proper Daytime Prayer/rubrics.</x:v>
      </x:c>
      <x:c r="K102" s="42" t="str">
        <x:v>Proper of Seasons → Sacred Triduum; use the proper evening office for the day.</x:v>
      </x:c>
      <x:c r="L102" s="42" t="str">
        <x:v>Proper of Seasons → Sacred Triduum; follow the Night Prayer rubric for the day.</x:v>
      </x:c>
      <x:c r="M102" s="42" t="str">
        <x:v>Triduum offices are highly proper; use the approved edition's rubrics rather than the ordinary weekday layout.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03">
      <x:c r="A103" s="40" t="n">
        <x:v>46117</x:v>
      </x:c>
      <x:c r="B103" s="41" t="str">
        <x:v>Sunday</x:v>
      </x:c>
      <x:c r="C103" s="136" t="str">
        <x:v>Easter</x:v>
      </x:c>
      <x:c r="D103" s="131" t="str">
        <x:v>Easter Sunday of the Resurrection of the Lord</x:v>
      </x:c>
      <x:c r="E103" s="131" t="str">
        <x:v>Solemnity</x:v>
      </x:c>
      <x:c r="F103" s="131" t="str">
        <x:v>Vol. II — Lent, Triduum &amp; Easter</x:v>
      </x:c>
      <x:c r="G103" s="132" t="str">
        <x:v>Proper / Common</x:v>
      </x:c>
      <x:c r="H103" s="42" t="str">
        <x:v>Proper of Seasons/Saints → Solemnity; use Common only where the proper directs.</x:v>
      </x:c>
      <x:c r="I103" s="42" t="str">
        <x:v>Proper of Seasons/Saints → Morning Prayer of the solemnity.</x:v>
      </x:c>
      <x:c r="J103" s="42" t="str">
        <x:v>Daytime Prayer of the solemnity; use complementary psalmody if the rubric directs.</x:v>
      </x:c>
      <x:c r="K103" s="42" t="str">
        <x:v>Evening Prayer II of the solemnity (Proper/Common as directed).</x:v>
      </x:c>
      <x:c r="L103" s="42" t="str">
        <x:v>Night Prayer II of Sunday/Solemnity after Evening Prayer II.</x:v>
      </x:c>
      <x:c r="M103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04">
      <x:c r="A104" s="40" t="n">
        <x:v>46118</x:v>
      </x:c>
      <x:c r="B104" s="41" t="str">
        <x:v>Monday</x:v>
      </x:c>
      <x:c r="C104" s="136" t="str">
        <x:v>Easter</x:v>
      </x:c>
      <x:c r="D104" s="41" t="str">
        <x:v>Day within the Octave of Easter</x:v>
      </x:c>
      <x:c r="E104" s="41" t="str">
        <x:v>Octave Day</x:v>
      </x:c>
      <x:c r="F104" s="41" t="str">
        <x:v>Vol. II — Lent, Triduum &amp; Easter</x:v>
      </x:c>
      <x:c r="G104" s="42" t="str">
        <x:v>Proper — Easter Octave</x:v>
      </x:c>
      <x:c r="H104" s="42" t="str">
        <x:v>Proper of Seasons → Easter Octave; proper Office of Readings.</x:v>
      </x:c>
      <x:c r="I104" s="42" t="str">
        <x:v>Proper of Seasons → Easter Octave; proper Morning Prayer.</x:v>
      </x:c>
      <x:c r="J104" s="42" t="str">
        <x:v>Proper of Seasons → Easter Octave; Daytime Prayer as directed.</x:v>
      </x:c>
      <x:c r="K104" s="42" t="str">
        <x:v>Proper of Seasons → Easter Octave; proper Evening Prayer.</x:v>
      </x:c>
      <x:c r="L104" s="42" t="str">
        <x:v>Easter Octave → follow the proper Night Prayer rubric.</x:v>
      </x:c>
      <x:c r="M104" s="42" t="str">
        <x:v>The Easter Octave has special proper texts; follow the octave section rather than ordinary seasonal navigation.
https://www.usccb.org/resources/2026cal.pdf
https://www.usccb.org/prayer-and-worship/liturgy-of-the-hours</x:v>
      </x:c>
    </x:row>
    <x:row r="105">
      <x:c r="A105" s="40" t="n">
        <x:v>46119</x:v>
      </x:c>
      <x:c r="B105" s="41" t="str">
        <x:v>Tuesday</x:v>
      </x:c>
      <x:c r="C105" s="136" t="str">
        <x:v>Easter</x:v>
      </x:c>
      <x:c r="D105" s="41" t="str">
        <x:v>Day within the Octave of Easter</x:v>
      </x:c>
      <x:c r="E105" s="41" t="str">
        <x:v>Octave Day</x:v>
      </x:c>
      <x:c r="F105" s="41" t="str">
        <x:v>Vol. II — Lent, Triduum &amp; Easter</x:v>
      </x:c>
      <x:c r="G105" s="42" t="str">
        <x:v>Proper — Easter Octave</x:v>
      </x:c>
      <x:c r="H105" s="42" t="str">
        <x:v>Proper of Seasons → Easter Octave; proper Office of Readings.</x:v>
      </x:c>
      <x:c r="I105" s="42" t="str">
        <x:v>Proper of Seasons → Easter Octave; proper Morning Prayer.</x:v>
      </x:c>
      <x:c r="J105" s="42" t="str">
        <x:v>Proper of Seasons → Easter Octave; Daytime Prayer as directed.</x:v>
      </x:c>
      <x:c r="K105" s="42" t="str">
        <x:v>Proper of Seasons → Easter Octave; proper Evening Prayer.</x:v>
      </x:c>
      <x:c r="L105" s="42" t="str">
        <x:v>Easter Octave → follow the proper Night Prayer rubric.</x:v>
      </x:c>
      <x:c r="M105" s="42" t="str">
        <x:v>The Easter Octave has special proper texts; follow the octave section rather than ordinary seasonal navigation.
https://www.usccb.org/resources/2026cal.pdf
https://www.usccb.org/prayer-and-worship/liturgy-of-the-hours</x:v>
      </x:c>
    </x:row>
    <x:row r="106">
      <x:c r="A106" s="40" t="n">
        <x:v>46120</x:v>
      </x:c>
      <x:c r="B106" s="41" t="str">
        <x:v>Wednesday</x:v>
      </x:c>
      <x:c r="C106" s="136" t="str">
        <x:v>Easter</x:v>
      </x:c>
      <x:c r="D106" s="41" t="str">
        <x:v>Day within the Octave of Easter</x:v>
      </x:c>
      <x:c r="E106" s="41" t="str">
        <x:v>Octave Day</x:v>
      </x:c>
      <x:c r="F106" s="41" t="str">
        <x:v>Vol. II — Lent, Triduum &amp; Easter</x:v>
      </x:c>
      <x:c r="G106" s="42" t="str">
        <x:v>Proper — Easter Octave</x:v>
      </x:c>
      <x:c r="H106" s="42" t="str">
        <x:v>Proper of Seasons → Easter Octave; proper Office of Readings.</x:v>
      </x:c>
      <x:c r="I106" s="42" t="str">
        <x:v>Proper of Seasons → Easter Octave; proper Morning Prayer.</x:v>
      </x:c>
      <x:c r="J106" s="42" t="str">
        <x:v>Proper of Seasons → Easter Octave; Daytime Prayer as directed.</x:v>
      </x:c>
      <x:c r="K106" s="42" t="str">
        <x:v>Proper of Seasons → Easter Octave; proper Evening Prayer.</x:v>
      </x:c>
      <x:c r="L106" s="42" t="str">
        <x:v>Easter Octave → follow the proper Night Prayer rubric.</x:v>
      </x:c>
      <x:c r="M106" s="42" t="str">
        <x:v>The Easter Octave has special proper texts; follow the octave section rather than ordinary seasonal navigation.
https://www.usccb.org/resources/2026cal.pdf
https://www.usccb.org/prayer-and-worship/liturgy-of-the-hours</x:v>
      </x:c>
    </x:row>
    <x:row r="107">
      <x:c r="A107" s="40" t="n">
        <x:v>46121</x:v>
      </x:c>
      <x:c r="B107" s="41" t="str">
        <x:v>Thursday</x:v>
      </x:c>
      <x:c r="C107" s="136" t="str">
        <x:v>Easter</x:v>
      </x:c>
      <x:c r="D107" s="41" t="str">
        <x:v>Day within the Octave of Easter</x:v>
      </x:c>
      <x:c r="E107" s="41" t="str">
        <x:v>Octave Day</x:v>
      </x:c>
      <x:c r="F107" s="41" t="str">
        <x:v>Vol. II — Lent, Triduum &amp; Easter</x:v>
      </x:c>
      <x:c r="G107" s="42" t="str">
        <x:v>Proper — Easter Octave</x:v>
      </x:c>
      <x:c r="H107" s="42" t="str">
        <x:v>Proper of Seasons → Easter Octave; proper Office of Readings.</x:v>
      </x:c>
      <x:c r="I107" s="42" t="str">
        <x:v>Proper of Seasons → Easter Octave; proper Morning Prayer.</x:v>
      </x:c>
      <x:c r="J107" s="42" t="str">
        <x:v>Proper of Seasons → Easter Octave; Daytime Prayer as directed.</x:v>
      </x:c>
      <x:c r="K107" s="42" t="str">
        <x:v>Proper of Seasons → Easter Octave; proper Evening Prayer.</x:v>
      </x:c>
      <x:c r="L107" s="42" t="str">
        <x:v>Easter Octave → follow the proper Night Prayer rubric.</x:v>
      </x:c>
      <x:c r="M107" s="42" t="str">
        <x:v>The Easter Octave has special proper texts; follow the octave section rather than ordinary seasonal navigation.
https://www.usccb.org/resources/2026cal.pdf
https://www.usccb.org/prayer-and-worship/liturgy-of-the-hours</x:v>
      </x:c>
    </x:row>
    <x:row r="108">
      <x:c r="A108" s="40" t="n">
        <x:v>46122</x:v>
      </x:c>
      <x:c r="B108" s="41" t="str">
        <x:v>Friday</x:v>
      </x:c>
      <x:c r="C108" s="136" t="str">
        <x:v>Easter</x:v>
      </x:c>
      <x:c r="D108" s="41" t="str">
        <x:v>Day within the Octave of Easter</x:v>
      </x:c>
      <x:c r="E108" s="41" t="str">
        <x:v>Octave Day</x:v>
      </x:c>
      <x:c r="F108" s="41" t="str">
        <x:v>Vol. II — Lent, Triduum &amp; Easter</x:v>
      </x:c>
      <x:c r="G108" s="42" t="str">
        <x:v>Proper — Easter Octave</x:v>
      </x:c>
      <x:c r="H108" s="42" t="str">
        <x:v>Proper of Seasons → Easter Octave; proper Office of Readings.</x:v>
      </x:c>
      <x:c r="I108" s="42" t="str">
        <x:v>Proper of Seasons → Easter Octave; proper Morning Prayer.</x:v>
      </x:c>
      <x:c r="J108" s="42" t="str">
        <x:v>Proper of Seasons → Easter Octave; Daytime Prayer as directed.</x:v>
      </x:c>
      <x:c r="K108" s="42" t="str">
        <x:v>Proper of Seasons → Easter Octave; proper Evening Prayer.</x:v>
      </x:c>
      <x:c r="L108" s="42" t="str">
        <x:v>Easter Octave → follow the proper Night Prayer rubric.</x:v>
      </x:c>
      <x:c r="M108" s="42" t="str">
        <x:v>The Easter Octave has special proper texts; follow the octave section rather than ordinary seasonal navigation.
https://www.usccb.org/resources/2026cal.pdf
https://www.usccb.org/prayer-and-worship/liturgy-of-the-hours</x:v>
      </x:c>
    </x:row>
    <x:row r="109">
      <x:c r="A109" s="40" t="n">
        <x:v>46123</x:v>
      </x:c>
      <x:c r="B109" s="41" t="str">
        <x:v>Saturday</x:v>
      </x:c>
      <x:c r="C109" s="136" t="str">
        <x:v>Easter</x:v>
      </x:c>
      <x:c r="D109" s="41" t="str">
        <x:v>Day within the Octave of Easter</x:v>
      </x:c>
      <x:c r="E109" s="41" t="str">
        <x:v>Octave Day</x:v>
      </x:c>
      <x:c r="F109" s="41" t="str">
        <x:v>Vol. II — Lent, Triduum &amp; Easter</x:v>
      </x:c>
      <x:c r="G109" s="42" t="str">
        <x:v>Proper — Easter Octave</x:v>
      </x:c>
      <x:c r="H109" s="42" t="str">
        <x:v>Proper of Seasons → Easter Octave; proper Office of Readings.</x:v>
      </x:c>
      <x:c r="I109" s="42" t="str">
        <x:v>Proper of Seasons → Easter Octave; proper Morning Prayer.</x:v>
      </x:c>
      <x:c r="J109" s="42" t="str">
        <x:v>Proper of Seasons → Easter Octave; Daytime Prayer as directed.</x:v>
      </x:c>
      <x:c r="K109" s="42" t="str">
        <x:v>Proper of Seasons → Easter Octave; proper Evening Prayer.</x:v>
      </x:c>
      <x:c r="L109" s="42" t="str">
        <x:v>Easter Octave → follow the proper Night Prayer rubric.</x:v>
      </x:c>
      <x:c r="M109" s="42" t="str">
        <x:v>The Easter Octave has special proper texts; follow the octave section rather than ordinary seasonal navigation.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10">
      <x:c r="A110" s="40" t="n">
        <x:v>46124</x:v>
      </x:c>
      <x:c r="B110" s="41" t="str">
        <x:v>Sunday</x:v>
      </x:c>
      <x:c r="C110" s="136" t="str">
        <x:v>Easter</x:v>
      </x:c>
      <x:c r="D110" s="41" t="str">
        <x:v>Second Sunday of Easter — Divine Mercy Sunday</x:v>
      </x:c>
      <x:c r="E110" s="41" t="str">
        <x:v>Sunday</x:v>
      </x:c>
      <x:c r="F110" s="41" t="str">
        <x:v>Vol. II — Lent, Triduum &amp; Easter</x:v>
      </x:c>
      <x:c r="G110" s="42" t="str">
        <x:v>Proper — Easter Octave</x:v>
      </x:c>
      <x:c r="H110" s="42" t="str">
        <x:v>Proper of Seasons → Easter Octave; proper Office of Readings.</x:v>
      </x:c>
      <x:c r="I110" s="42" t="str">
        <x:v>Proper of Seasons → Easter Octave; proper Morning Prayer.</x:v>
      </x:c>
      <x:c r="J110" s="42" t="str">
        <x:v>Proper of Seasons → Easter Octave; Daytime Prayer as directed.</x:v>
      </x:c>
      <x:c r="K110" s="42" t="str">
        <x:v>Proper of Seasons → Easter Octave; proper Evening Prayer.</x:v>
      </x:c>
      <x:c r="L110" s="42" t="str">
        <x:v>Easter Octave → follow the proper Night Prayer rubric.</x:v>
      </x:c>
      <x:c r="M110" s="42" t="str">
        <x:v>The Easter Octave has special proper texts; follow the octave section rather than ordinary seasonal navigation.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11">
      <x:c r="A111" s="40" t="n">
        <x:v>46125</x:v>
      </x:c>
      <x:c r="B111" s="41" t="str">
        <x:v>Monday</x:v>
      </x:c>
      <x:c r="C111" s="136" t="str">
        <x:v>Easter</x:v>
      </x:c>
      <x:c r="D111" s="41" t="str">
        <x:v>Easter Weekday</x:v>
      </x:c>
      <x:c r="E111" s="41" t="str">
        <x:v>Weekday</x:v>
      </x:c>
      <x:c r="F111" s="41" t="str">
        <x:v>Vol. II — Lent, Triduum &amp; Easter</x:v>
      </x:c>
      <x:c r="G111" s="42" t="str">
        <x:v>Psalter Week II</x:v>
      </x:c>
      <x:c r="H111" s="42" t="str">
        <x:v>Proper of Seasons + Psalter Week II; weekday Office of Readings. Optional memorial may be inserted from the Proper of Saints if chosen.</x:v>
      </x:c>
      <x:c r="I111" s="42" t="str">
        <x:v>Proper of Seasons + Psalter Week II; weekday Morning Prayer. Optional memorial may be inserted from the Proper of Saints if chosen.</x:v>
      </x:c>
      <x:c r="J111" s="42" t="str">
        <x:v>Proper of Seasons + Psalter Week II; choose Midmorning, Midday, or Midafternoon Prayer.</x:v>
      </x:c>
      <x:c r="K111" s="42" t="str">
        <x:v>Proper of Seasons + Psalter Week II; weekday Evening Prayer. Optional memorial may be inserted from the Proper of Saints if chosen.</x:v>
      </x:c>
      <x:c r="L111" s="42" t="str">
        <x:v>Night Prayer for Monday.</x:v>
      </x:c>
      <x:c r="M11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12">
      <x:c r="A112" s="40" t="n">
        <x:v>46126</x:v>
      </x:c>
      <x:c r="B112" s="41" t="str">
        <x:v>Tuesday</x:v>
      </x:c>
      <x:c r="C112" s="136" t="str">
        <x:v>Easter</x:v>
      </x:c>
      <x:c r="D112" s="41" t="str">
        <x:v>Easter Weekday</x:v>
      </x:c>
      <x:c r="E112" s="41" t="str">
        <x:v>Weekday</x:v>
      </x:c>
      <x:c r="F112" s="41" t="str">
        <x:v>Vol. II — Lent, Triduum &amp; Easter</x:v>
      </x:c>
      <x:c r="G112" s="42" t="str">
        <x:v>Psalter Week II</x:v>
      </x:c>
      <x:c r="H112" s="42" t="str">
        <x:v>Proper of Seasons + Psalter Week II; weekday Office of Readings.</x:v>
      </x:c>
      <x:c r="I112" s="42" t="str">
        <x:v>Proper of Seasons + Psalter Week II; weekday Morning Prayer.</x:v>
      </x:c>
      <x:c r="J112" s="42" t="str">
        <x:v>Proper of Seasons + Psalter Week II; choose Midmorning, Midday, or Midafternoon Prayer.</x:v>
      </x:c>
      <x:c r="K112" s="42" t="str">
        <x:v>Proper of Seasons + Psalter Week II; weekday Evening Prayer.</x:v>
      </x:c>
      <x:c r="L112" s="42" t="str">
        <x:v>Night Prayer for Tuesday.</x:v>
      </x:c>
      <x:c r="M11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13">
      <x:c r="A113" s="40" t="n">
        <x:v>46127</x:v>
      </x:c>
      <x:c r="B113" s="41" t="str">
        <x:v>Wednesday</x:v>
      </x:c>
      <x:c r="C113" s="136" t="str">
        <x:v>Easter</x:v>
      </x:c>
      <x:c r="D113" s="41" t="str">
        <x:v>Easter Weekday</x:v>
      </x:c>
      <x:c r="E113" s="41" t="str">
        <x:v>Weekday</x:v>
      </x:c>
      <x:c r="F113" s="41" t="str">
        <x:v>Vol. II — Lent, Triduum &amp; Easter</x:v>
      </x:c>
      <x:c r="G113" s="42" t="str">
        <x:v>Psalter Week II</x:v>
      </x:c>
      <x:c r="H113" s="42" t="str">
        <x:v>Proper of Seasons + Psalter Week II; weekday Office of Readings.</x:v>
      </x:c>
      <x:c r="I113" s="42" t="str">
        <x:v>Proper of Seasons + Psalter Week II; weekday Morning Prayer.</x:v>
      </x:c>
      <x:c r="J113" s="42" t="str">
        <x:v>Proper of Seasons + Psalter Week II; choose Midmorning, Midday, or Midafternoon Prayer.</x:v>
      </x:c>
      <x:c r="K113" s="42" t="str">
        <x:v>Proper of Seasons + Psalter Week II; weekday Evening Prayer.</x:v>
      </x:c>
      <x:c r="L113" s="42" t="str">
        <x:v>Night Prayer for Wednesday.</x:v>
      </x:c>
      <x:c r="M11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14">
      <x:c r="A114" s="40" t="n">
        <x:v>46128</x:v>
      </x:c>
      <x:c r="B114" s="41" t="str">
        <x:v>Thursday</x:v>
      </x:c>
      <x:c r="C114" s="136" t="str">
        <x:v>Easter</x:v>
      </x:c>
      <x:c r="D114" s="41" t="str">
        <x:v>Easter Weekday</x:v>
      </x:c>
      <x:c r="E114" s="41" t="str">
        <x:v>Weekday</x:v>
      </x:c>
      <x:c r="F114" s="41" t="str">
        <x:v>Vol. II — Lent, Triduum &amp; Easter</x:v>
      </x:c>
      <x:c r="G114" s="42" t="str">
        <x:v>Psalter Week II</x:v>
      </x:c>
      <x:c r="H114" s="42" t="str">
        <x:v>Proper of Seasons + Psalter Week II; weekday Office of Readings.</x:v>
      </x:c>
      <x:c r="I114" s="42" t="str">
        <x:v>Proper of Seasons + Psalter Week II; weekday Morning Prayer.</x:v>
      </x:c>
      <x:c r="J114" s="42" t="str">
        <x:v>Proper of Seasons + Psalter Week II; choose Midmorning, Midday, or Midafternoon Prayer.</x:v>
      </x:c>
      <x:c r="K114" s="42" t="str">
        <x:v>Proper of Seasons + Psalter Week II; weekday Evening Prayer.</x:v>
      </x:c>
      <x:c r="L114" s="42" t="str">
        <x:v>Night Prayer for Thursday.</x:v>
      </x:c>
      <x:c r="M11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15">
      <x:c r="A115" s="40" t="n">
        <x:v>46129</x:v>
      </x:c>
      <x:c r="B115" s="41" t="str">
        <x:v>Friday</x:v>
      </x:c>
      <x:c r="C115" s="136" t="str">
        <x:v>Easter</x:v>
      </x:c>
      <x:c r="D115" s="41" t="str">
        <x:v>Easter Weekday</x:v>
      </x:c>
      <x:c r="E115" s="41" t="str">
        <x:v>Weekday</x:v>
      </x:c>
      <x:c r="F115" s="41" t="str">
        <x:v>Vol. II — Lent, Triduum &amp; Easter</x:v>
      </x:c>
      <x:c r="G115" s="42" t="str">
        <x:v>Psalter Week II</x:v>
      </x:c>
      <x:c r="H115" s="42" t="str">
        <x:v>Proper of Seasons + Psalter Week II; weekday Office of Readings.</x:v>
      </x:c>
      <x:c r="I115" s="42" t="str">
        <x:v>Proper of Seasons + Psalter Week II; weekday Morning Prayer.</x:v>
      </x:c>
      <x:c r="J115" s="42" t="str">
        <x:v>Proper of Seasons + Psalter Week II; choose Midmorning, Midday, or Midafternoon Prayer.</x:v>
      </x:c>
      <x:c r="K115" s="42" t="str">
        <x:v>Proper of Seasons + Psalter Week II; weekday Evening Prayer.</x:v>
      </x:c>
      <x:c r="L115" s="42" t="str">
        <x:v>Night Prayer for Friday.</x:v>
      </x:c>
      <x:c r="M11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16">
      <x:c r="A116" s="40" t="n">
        <x:v>46130</x:v>
      </x:c>
      <x:c r="B116" s="41" t="str">
        <x:v>Saturday</x:v>
      </x:c>
      <x:c r="C116" s="136" t="str">
        <x:v>Easter</x:v>
      </x:c>
      <x:c r="D116" s="41" t="str">
        <x:v>Easter Weekday</x:v>
      </x:c>
      <x:c r="E116" s="41" t="str">
        <x:v>Weekday</x:v>
      </x:c>
      <x:c r="F116" s="41" t="str">
        <x:v>Vol. II — Lent, Triduum &amp; Easter</x:v>
      </x:c>
      <x:c r="G116" s="42" t="str">
        <x:v>Psalter Week II</x:v>
      </x:c>
      <x:c r="H116" s="42" t="str">
        <x:v>Proper of Seasons + Psalter Week II; weekday Office of Readings.</x:v>
      </x:c>
      <x:c r="I116" s="42" t="str">
        <x:v>Proper of Seasons + Psalter Week II; weekday Morning Prayer.</x:v>
      </x:c>
      <x:c r="J116" s="42" t="str">
        <x:v>Proper of Seasons + Psalter Week II; choose Midmorning, Midday, or Midafternoon Prayer.</x:v>
      </x:c>
      <x:c r="K116" s="42" t="str">
        <x:v>First Vespers of Sunday: Third Sunday of Easter — Proper of Seasons + tomorrow's Psalter week.</x:v>
      </x:c>
      <x:c r="L116" s="42" t="str">
        <x:v>Night Prayer I of Sunday after First Vespers.</x:v>
      </x:c>
      <x:c r="M116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17">
      <x:c r="A117" s="40" t="n">
        <x:v>46131</x:v>
      </x:c>
      <x:c r="B117" s="41" t="str">
        <x:v>Sunday</x:v>
      </x:c>
      <x:c r="C117" s="136" t="str">
        <x:v>Easter</x:v>
      </x:c>
      <x:c r="D117" s="41" t="str">
        <x:v>Third Sunday of Easter</x:v>
      </x:c>
      <x:c r="E117" s="41" t="str">
        <x:v>Sunday</x:v>
      </x:c>
      <x:c r="F117" s="41" t="str">
        <x:v>Vol. II — Lent, Triduum &amp; Easter</x:v>
      </x:c>
      <x:c r="G117" s="42" t="str">
        <x:v>Psalter Week III</x:v>
      </x:c>
      <x:c r="H117" s="42" t="str">
        <x:v>Proper of Seasons + Psalter Week III; Office of Readings for Sunday.</x:v>
      </x:c>
      <x:c r="I117" s="42" t="str">
        <x:v>Proper of Seasons + Psalter Week III; Morning Prayer for Sunday.</x:v>
      </x:c>
      <x:c r="J117" s="42" t="str">
        <x:v>Psalter Week III; Sunday Daytime Prayer + seasonal proper.</x:v>
      </x:c>
      <x:c r="K117" s="42" t="str">
        <x:v>Evening Prayer II of Sunday — Proper of Seasons + Psalter Week III.</x:v>
      </x:c>
      <x:c r="L117" s="42" t="str">
        <x:v>Night Prayer II of Sunday.</x:v>
      </x:c>
      <x:c r="M117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18">
      <x:c r="A118" s="40" t="n">
        <x:v>46132</x:v>
      </x:c>
      <x:c r="B118" s="41" t="str">
        <x:v>Monday</x:v>
      </x:c>
      <x:c r="C118" s="136" t="str">
        <x:v>Easter</x:v>
      </x:c>
      <x:c r="D118" s="41" t="str">
        <x:v>Easter Weekday</x:v>
      </x:c>
      <x:c r="E118" s="41" t="str">
        <x:v>Weekday</x:v>
      </x:c>
      <x:c r="F118" s="41" t="str">
        <x:v>Vol. II — Lent, Triduum &amp; Easter</x:v>
      </x:c>
      <x:c r="G118" s="42" t="str">
        <x:v>Psalter Week III</x:v>
      </x:c>
      <x:c r="H118" s="42" t="str">
        <x:v>Proper of Seasons + Psalter Week III; weekday Office of Readings.</x:v>
      </x:c>
      <x:c r="I118" s="42" t="str">
        <x:v>Proper of Seasons + Psalter Week III; weekday Morning Prayer.</x:v>
      </x:c>
      <x:c r="J118" s="42" t="str">
        <x:v>Proper of Seasons + Psalter Week III; choose Midmorning, Midday, or Midafternoon Prayer.</x:v>
      </x:c>
      <x:c r="K118" s="42" t="str">
        <x:v>Proper of Seasons + Psalter Week III; weekday Evening Prayer.</x:v>
      </x:c>
      <x:c r="L118" s="42" t="str">
        <x:v>Night Prayer for Monday.</x:v>
      </x:c>
      <x:c r="M11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19">
      <x:c r="A119" s="40" t="n">
        <x:v>46133</x:v>
      </x:c>
      <x:c r="B119" s="41" t="str">
        <x:v>Tuesday</x:v>
      </x:c>
      <x:c r="C119" s="136" t="str">
        <x:v>Easter</x:v>
      </x:c>
      <x:c r="D119" s="41" t="str">
        <x:v>Easter Weekday</x:v>
      </x:c>
      <x:c r="E119" s="41" t="str">
        <x:v>Weekday</x:v>
      </x:c>
      <x:c r="F119" s="41" t="str">
        <x:v>Vol. II — Lent, Triduum &amp; Easter</x:v>
      </x:c>
      <x:c r="G119" s="42" t="str">
        <x:v>Psalter Week III</x:v>
      </x:c>
      <x:c r="H119" s="42" t="str">
        <x:v>Proper of Seasons + Psalter Week III; weekday Office of Readings. Optional memorial may be inserted from the Proper of Saints if chosen.</x:v>
      </x:c>
      <x:c r="I119" s="42" t="str">
        <x:v>Proper of Seasons + Psalter Week III; weekday Morning Prayer. Optional memorial may be inserted from the Proper of Saints if chosen.</x:v>
      </x:c>
      <x:c r="J119" s="42" t="str">
        <x:v>Proper of Seasons + Psalter Week III; choose Midmorning, Midday, or Midafternoon Prayer.</x:v>
      </x:c>
      <x:c r="K119" s="42" t="str">
        <x:v>Proper of Seasons + Psalter Week III; weekday Evening Prayer. Optional memorial may be inserted from the Proper of Saints if chosen.</x:v>
      </x:c>
      <x:c r="L119" s="42" t="str">
        <x:v>Night Prayer for Tuesday.</x:v>
      </x:c>
      <x:c r="M11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20">
      <x:c r="A120" s="40" t="n">
        <x:v>46134</x:v>
      </x:c>
      <x:c r="B120" s="41" t="str">
        <x:v>Wednesday</x:v>
      </x:c>
      <x:c r="C120" s="136" t="str">
        <x:v>Easter</x:v>
      </x:c>
      <x:c r="D120" s="41" t="str">
        <x:v>Easter Weekday</x:v>
      </x:c>
      <x:c r="E120" s="41" t="str">
        <x:v>Weekday</x:v>
      </x:c>
      <x:c r="F120" s="41" t="str">
        <x:v>Vol. II — Lent, Triduum &amp; Easter</x:v>
      </x:c>
      <x:c r="G120" s="42" t="str">
        <x:v>Psalter Week III</x:v>
      </x:c>
      <x:c r="H120" s="42" t="str">
        <x:v>Proper of Seasons + Psalter Week III; weekday Office of Readings.</x:v>
      </x:c>
      <x:c r="I120" s="42" t="str">
        <x:v>Proper of Seasons + Psalter Week III; weekday Morning Prayer.</x:v>
      </x:c>
      <x:c r="J120" s="42" t="str">
        <x:v>Proper of Seasons + Psalter Week III; choose Midmorning, Midday, or Midafternoon Prayer.</x:v>
      </x:c>
      <x:c r="K120" s="42" t="str">
        <x:v>Proper of Seasons + Psalter Week III; weekday Evening Prayer.</x:v>
      </x:c>
      <x:c r="L120" s="42" t="str">
        <x:v>Night Prayer for Wednesday.</x:v>
      </x:c>
      <x:c r="M12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21">
      <x:c r="A121" s="40" t="n">
        <x:v>46135</x:v>
      </x:c>
      <x:c r="B121" s="41" t="str">
        <x:v>Thursday</x:v>
      </x:c>
      <x:c r="C121" s="136" t="str">
        <x:v>Easter</x:v>
      </x:c>
      <x:c r="D121" s="41" t="str">
        <x:v>Easter Weekday</x:v>
      </x:c>
      <x:c r="E121" s="41" t="str">
        <x:v>Weekday</x:v>
      </x:c>
      <x:c r="F121" s="41" t="str">
        <x:v>Vol. II — Lent, Triduum &amp; Easter</x:v>
      </x:c>
      <x:c r="G121" s="42" t="str">
        <x:v>Psalter Week III</x:v>
      </x:c>
      <x:c r="H121" s="42" t="str">
        <x:v>Proper of Seasons + Psalter Week III; weekday Office of Readings. Optional memorial may be inserted from the Proper of Saints if chosen.</x:v>
      </x:c>
      <x:c r="I121" s="42" t="str">
        <x:v>Proper of Seasons + Psalter Week III; weekday Morning Prayer. Optional memorial may be inserted from the Proper of Saints if chosen.</x:v>
      </x:c>
      <x:c r="J121" s="42" t="str">
        <x:v>Proper of Seasons + Psalter Week III; choose Midmorning, Midday, or Midafternoon Prayer.</x:v>
      </x:c>
      <x:c r="K121" s="42" t="str">
        <x:v>Proper of Seasons + Psalter Week III; weekday Evening Prayer. Optional memorial may be inserted from the Proper of Saints if chosen.</x:v>
      </x:c>
      <x:c r="L121" s="42" t="str">
        <x:v>Night Prayer for Thursday.</x:v>
      </x:c>
      <x:c r="M12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22">
      <x:c r="A122" s="40" t="n">
        <x:v>46136</x:v>
      </x:c>
      <x:c r="B122" s="41" t="str">
        <x:v>Friday</x:v>
      </x:c>
      <x:c r="C122" s="136" t="str">
        <x:v>Easter</x:v>
      </x:c>
      <x:c r="D122" s="41" t="str">
        <x:v>Easter Weekday</x:v>
      </x:c>
      <x:c r="E122" s="41" t="str">
        <x:v>Weekday</x:v>
      </x:c>
      <x:c r="F122" s="41" t="str">
        <x:v>Vol. II — Lent, Triduum &amp; Easter</x:v>
      </x:c>
      <x:c r="G122" s="42" t="str">
        <x:v>Psalter Week III</x:v>
      </x:c>
      <x:c r="H122" s="42" t="str">
        <x:v>Proper of Seasons + Psalter Week III; weekday Office of Readings. Optional memorial may be inserted from the Proper of Saints if chosen.</x:v>
      </x:c>
      <x:c r="I122" s="42" t="str">
        <x:v>Proper of Seasons + Psalter Week III; weekday Morning Prayer. Optional memorial may be inserted from the Proper of Saints if chosen.</x:v>
      </x:c>
      <x:c r="J122" s="42" t="str">
        <x:v>Proper of Seasons + Psalter Week III; choose Midmorning, Midday, or Midafternoon Prayer.</x:v>
      </x:c>
      <x:c r="K122" s="42" t="str">
        <x:v>Proper of Seasons + Psalter Week III; weekday Evening Prayer. Optional memorial may be inserted from the Proper of Saints if chosen.</x:v>
      </x:c>
      <x:c r="L122" s="42" t="str">
        <x:v>Night Prayer for Friday.</x:v>
      </x:c>
      <x:c r="M12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23">
      <x:c r="A123" s="40" t="n">
        <x:v>46137</x:v>
      </x:c>
      <x:c r="B123" s="41" t="str">
        <x:v>Saturday</x:v>
      </x:c>
      <x:c r="C123" s="136" t="str">
        <x:v>Easter</x:v>
      </x:c>
      <x:c r="D123" s="131" t="str">
        <x:v>Saint Mark, Evangelist</x:v>
      </x:c>
      <x:c r="E123" s="131" t="str">
        <x:v>Feast</x:v>
      </x:c>
      <x:c r="F123" s="131" t="str">
        <x:v>Vol. II — Lent, Triduum &amp; Easter</x:v>
      </x:c>
      <x:c r="G123" s="132" t="str">
        <x:v>Proper / Common</x:v>
      </x:c>
      <x:c r="H123" s="42" t="str">
        <x:v>Proper of Seasons/Saints → Feast; use Common where directed.</x:v>
      </x:c>
      <x:c r="I123" s="42" t="str">
        <x:v>Proper of the Feast/Common as directed; use feast psalmody where provided.</x:v>
      </x:c>
      <x:c r="J123" s="42" t="str">
        <x:v>Proper / Common; Daytime Prayer of the season, with the feast's proper elements where directed.</x:v>
      </x:c>
      <x:c r="K123" s="42" t="str">
        <x:v>First Vespers of Sunday: Fourth Sunday of Easter — Proper of Seasons + tomorrow's Psalter week.</x:v>
      </x:c>
      <x:c r="L123" s="42" t="str">
        <x:v>Night Prayer I of Sunday after First Vespers.</x:v>
      </x:c>
      <x:c r="M123" s="42" t="str">
        <x:v>Feasts use their proper/Common at the principal Hours; Daytime Prayer usually retains the current seasonal/psalter framework unless directed otherwise.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24">
      <x:c r="A124" s="40" t="n">
        <x:v>46138</x:v>
      </x:c>
      <x:c r="B124" s="41" t="str">
        <x:v>Sunday</x:v>
      </x:c>
      <x:c r="C124" s="136" t="str">
        <x:v>Easter</x:v>
      </x:c>
      <x:c r="D124" s="41" t="str">
        <x:v>Fourth Sunday of Easter</x:v>
      </x:c>
      <x:c r="E124" s="41" t="str">
        <x:v>Sunday</x:v>
      </x:c>
      <x:c r="F124" s="41" t="str">
        <x:v>Vol. II — Lent, Triduum &amp; Easter</x:v>
      </x:c>
      <x:c r="G124" s="42" t="str">
        <x:v>Psalter Week IV</x:v>
      </x:c>
      <x:c r="H124" s="42" t="str">
        <x:v>Proper of Seasons + Psalter Week IV; Office of Readings for Sunday.</x:v>
      </x:c>
      <x:c r="I124" s="42" t="str">
        <x:v>Proper of Seasons + Psalter Week IV; Morning Prayer for Sunday.</x:v>
      </x:c>
      <x:c r="J124" s="42" t="str">
        <x:v>Psalter Week IV; Sunday Daytime Prayer + seasonal proper.</x:v>
      </x:c>
      <x:c r="K124" s="42" t="str">
        <x:v>Evening Prayer II of Sunday — Proper of Seasons + Psalter Week IV.</x:v>
      </x:c>
      <x:c r="L124" s="42" t="str">
        <x:v>Night Prayer II of Sunday.</x:v>
      </x:c>
      <x:c r="M124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25">
      <x:c r="A125" s="40" t="n">
        <x:v>46139</x:v>
      </x:c>
      <x:c r="B125" s="41" t="str">
        <x:v>Monday</x:v>
      </x:c>
      <x:c r="C125" s="136" t="str">
        <x:v>Easter</x:v>
      </x:c>
      <x:c r="D125" s="41" t="str">
        <x:v>Easter Weekday</x:v>
      </x:c>
      <x:c r="E125" s="41" t="str">
        <x:v>Weekday</x:v>
      </x:c>
      <x:c r="F125" s="41" t="str">
        <x:v>Vol. II — Lent, Triduum &amp; Easter</x:v>
      </x:c>
      <x:c r="G125" s="42" t="str">
        <x:v>Psalter Week IV</x:v>
      </x:c>
      <x:c r="H125" s="42" t="str">
        <x:v>Proper of Seasons + Psalter Week IV; weekday Office of Readings.</x:v>
      </x:c>
      <x:c r="I125" s="42" t="str">
        <x:v>Proper of Seasons + Psalter Week IV; weekday Morning Prayer.</x:v>
      </x:c>
      <x:c r="J125" s="42" t="str">
        <x:v>Proper of Seasons + Psalter Week IV; choose Midmorning, Midday, or Midafternoon Prayer.</x:v>
      </x:c>
      <x:c r="K125" s="42" t="str">
        <x:v>Proper of Seasons + Psalter Week IV; weekday Evening Prayer.</x:v>
      </x:c>
      <x:c r="L125" s="42" t="str">
        <x:v>Night Prayer for Monday.</x:v>
      </x:c>
      <x:c r="M12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26">
      <x:c r="A126" s="40" t="n">
        <x:v>46140</x:v>
      </x:c>
      <x:c r="B126" s="41" t="str">
        <x:v>Tuesday</x:v>
      </x:c>
      <x:c r="C126" s="136" t="str">
        <x:v>Easter</x:v>
      </x:c>
      <x:c r="D126" s="41" t="str">
        <x:v>Easter Weekday</x:v>
      </x:c>
      <x:c r="E126" s="41" t="str">
        <x:v>Weekday</x:v>
      </x:c>
      <x:c r="F126" s="41" t="str">
        <x:v>Vol. II — Lent, Triduum &amp; Easter</x:v>
      </x:c>
      <x:c r="G126" s="42" t="str">
        <x:v>Psalter Week IV</x:v>
      </x:c>
      <x:c r="H126" s="42" t="str">
        <x:v>Proper of Seasons + Psalter Week IV; weekday Office of Readings. Optional memorial may be inserted from the Proper of Saints if chosen.</x:v>
      </x:c>
      <x:c r="I126" s="42" t="str">
        <x:v>Proper of Seasons + Psalter Week IV; weekday Morning Prayer. Optional memorial may be inserted from the Proper of Saints if chosen.</x:v>
      </x:c>
      <x:c r="J126" s="42" t="str">
        <x:v>Proper of Seasons + Psalter Week IV; choose Midmorning, Midday, or Midafternoon Prayer.</x:v>
      </x:c>
      <x:c r="K126" s="42" t="str">
        <x:v>Proper of Seasons + Psalter Week IV; weekday Evening Prayer. Optional memorial may be inserted from the Proper of Saints if chosen.</x:v>
      </x:c>
      <x:c r="L126" s="42" t="str">
        <x:v>Night Prayer for Tuesday.</x:v>
      </x:c>
      <x:c r="M12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27">
      <x:c r="A127" s="40" t="n">
        <x:v>46141</x:v>
      </x:c>
      <x:c r="B127" s="41" t="str">
        <x:v>Wednesday</x:v>
      </x:c>
      <x:c r="C127" s="136" t="str">
        <x:v>Easter</x:v>
      </x:c>
      <x:c r="D127" s="41" t="str">
        <x:v>Saint Catherine of Siena</x:v>
      </x:c>
      <x:c r="E127" s="41" t="str">
        <x:v>Memorial</x:v>
      </x:c>
      <x:c r="F127" s="41" t="str">
        <x:v>Vol. II — Lent, Triduum &amp; Easter</x:v>
      </x:c>
      <x:c r="G127" s="42" t="str">
        <x:v>Psalter Week IV</x:v>
      </x:c>
      <x:c r="H127" s="42" t="str">
        <x:v>Psalter Week IV; Proper of Saints for the saint's proper reading/prayer; Common where directed.</x:v>
      </x:c>
      <x:c r="I127" s="42" t="str">
        <x:v>Psalter Week IV; Morning Prayer with Proper of Saints/Common elements as directed.</x:v>
      </x:c>
      <x:c r="J127" s="42" t="str">
        <x:v>Psalter Week IV; Daytime Prayer of the season; use the memorial's concluding prayer where directed.</x:v>
      </x:c>
      <x:c r="K127" s="42" t="str">
        <x:v>Psalter Week IV; Evening Prayer with Proper of Saints/Common elements as directed.</x:v>
      </x:c>
      <x:c r="L127" s="42" t="str">
        <x:v>Night Prayer for Wednesday.</x:v>
      </x:c>
      <x:c r="M127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28">
      <x:c r="A128" s="40" t="n">
        <x:v>46142</x:v>
      </x:c>
      <x:c r="B128" s="41" t="str">
        <x:v>Thursday</x:v>
      </x:c>
      <x:c r="C128" s="136" t="str">
        <x:v>Easter</x:v>
      </x:c>
      <x:c r="D128" s="41" t="str">
        <x:v>Easter Weekday</x:v>
      </x:c>
      <x:c r="E128" s="41" t="str">
        <x:v>Weekday</x:v>
      </x:c>
      <x:c r="F128" s="41" t="str">
        <x:v>Vol. II — Lent, Triduum &amp; Easter</x:v>
      </x:c>
      <x:c r="G128" s="42" t="str">
        <x:v>Psalter Week IV</x:v>
      </x:c>
      <x:c r="H128" s="42" t="str">
        <x:v>Proper of Seasons + Psalter Week IV; weekday Office of Readings. Optional memorial may be inserted from the Proper of Saints if chosen.</x:v>
      </x:c>
      <x:c r="I128" s="42" t="str">
        <x:v>Proper of Seasons + Psalter Week IV; weekday Morning Prayer. Optional memorial may be inserted from the Proper of Saints if chosen.</x:v>
      </x:c>
      <x:c r="J128" s="42" t="str">
        <x:v>Proper of Seasons + Psalter Week IV; choose Midmorning, Midday, or Midafternoon Prayer.</x:v>
      </x:c>
      <x:c r="K128" s="42" t="str">
        <x:v>Proper of Seasons + Psalter Week IV; weekday Evening Prayer. Optional memorial may be inserted from the Proper of Saints if chosen.</x:v>
      </x:c>
      <x:c r="L128" s="42" t="str">
        <x:v>Night Prayer for Thursday.</x:v>
      </x:c>
      <x:c r="M12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29">
      <x:c r="A129" s="40" t="n">
        <x:v>46143</x:v>
      </x:c>
      <x:c r="B129" s="41" t="str">
        <x:v>Friday</x:v>
      </x:c>
      <x:c r="C129" s="136" t="str">
        <x:v>Easter</x:v>
      </x:c>
      <x:c r="D129" s="41" t="str">
        <x:v>Easter Weekday</x:v>
      </x:c>
      <x:c r="E129" s="41" t="str">
        <x:v>Weekday</x:v>
      </x:c>
      <x:c r="F129" s="41" t="str">
        <x:v>Vol. II — Lent, Triduum &amp; Easter</x:v>
      </x:c>
      <x:c r="G129" s="42" t="str">
        <x:v>Psalter Week IV</x:v>
      </x:c>
      <x:c r="H129" s="42" t="str">
        <x:v>Proper of Seasons + Psalter Week IV; weekday Office of Readings. Optional memorial may be inserted from the Proper of Saints if chosen.</x:v>
      </x:c>
      <x:c r="I129" s="42" t="str">
        <x:v>Proper of Seasons + Psalter Week IV; weekday Morning Prayer. Optional memorial may be inserted from the Proper of Saints if chosen.</x:v>
      </x:c>
      <x:c r="J129" s="42" t="str">
        <x:v>Proper of Seasons + Psalter Week IV; choose Midmorning, Midday, or Midafternoon Prayer.</x:v>
      </x:c>
      <x:c r="K129" s="42" t="str">
        <x:v>Proper of Seasons + Psalter Week IV; weekday Evening Prayer. Optional memorial may be inserted from the Proper of Saints if chosen.</x:v>
      </x:c>
      <x:c r="L129" s="42" t="str">
        <x:v>Night Prayer for Friday.</x:v>
      </x:c>
      <x:c r="M12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30">
      <x:c r="A130" s="40" t="n">
        <x:v>46144</x:v>
      </x:c>
      <x:c r="B130" s="41" t="str">
        <x:v>Saturday</x:v>
      </x:c>
      <x:c r="C130" s="136" t="str">
        <x:v>Easter</x:v>
      </x:c>
      <x:c r="D130" s="41" t="str">
        <x:v>Saint Athanasius</x:v>
      </x:c>
      <x:c r="E130" s="41" t="str">
        <x:v>Memorial</x:v>
      </x:c>
      <x:c r="F130" s="41" t="str">
        <x:v>Vol. II — Lent, Triduum &amp; Easter</x:v>
      </x:c>
      <x:c r="G130" s="42" t="str">
        <x:v>Psalter Week IV</x:v>
      </x:c>
      <x:c r="H130" s="42" t="str">
        <x:v>Psalter Week IV; Proper of Saints for the saint's proper reading/prayer; Common where directed.</x:v>
      </x:c>
      <x:c r="I130" s="42" t="str">
        <x:v>Psalter Week IV; Morning Prayer with Proper of Saints/Common elements as directed.</x:v>
      </x:c>
      <x:c r="J130" s="42" t="str">
        <x:v>Psalter Week IV; Daytime Prayer of the season; use the memorial's concluding prayer where directed.</x:v>
      </x:c>
      <x:c r="K130" s="42" t="str">
        <x:v>First Vespers of Sunday: Fifth Sunday of Easter — Proper of Seasons + tomorrow's Psalter week.</x:v>
      </x:c>
      <x:c r="L130" s="42" t="str">
        <x:v>Night Prayer I of Sunday after First Vespers.</x:v>
      </x:c>
      <x:c r="M130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31">
      <x:c r="A131" s="40" t="n">
        <x:v>46145</x:v>
      </x:c>
      <x:c r="B131" s="41" t="str">
        <x:v>Sunday</x:v>
      </x:c>
      <x:c r="C131" s="136" t="str">
        <x:v>Easter</x:v>
      </x:c>
      <x:c r="D131" s="41" t="str">
        <x:v>Fifth Sunday of Easter</x:v>
      </x:c>
      <x:c r="E131" s="41" t="str">
        <x:v>Sunday</x:v>
      </x:c>
      <x:c r="F131" s="41" t="str">
        <x:v>Vol. II — Lent, Triduum &amp; Easter</x:v>
      </x:c>
      <x:c r="G131" s="42" t="str">
        <x:v>Psalter Week I</x:v>
      </x:c>
      <x:c r="H131" s="42" t="str">
        <x:v>Proper of Seasons + Psalter Week I; Office of Readings for Sunday.</x:v>
      </x:c>
      <x:c r="I131" s="42" t="str">
        <x:v>Proper of Seasons + Psalter Week I; Morning Prayer for Sunday.</x:v>
      </x:c>
      <x:c r="J131" s="42" t="str">
        <x:v>Psalter Week I; Sunday Daytime Prayer + seasonal proper.</x:v>
      </x:c>
      <x:c r="K131" s="42" t="str">
        <x:v>Evening Prayer II of Sunday — Proper of Seasons + Psalter Week I.</x:v>
      </x:c>
      <x:c r="L131" s="42" t="str">
        <x:v>Night Prayer II of Sunday.</x:v>
      </x:c>
      <x:c r="M131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32">
      <x:c r="A132" s="40" t="n">
        <x:v>46146</x:v>
      </x:c>
      <x:c r="B132" s="41" t="str">
        <x:v>Monday</x:v>
      </x:c>
      <x:c r="C132" s="136" t="str">
        <x:v>Easter</x:v>
      </x:c>
      <x:c r="D132" s="41" t="str">
        <x:v>Easter Weekday</x:v>
      </x:c>
      <x:c r="E132" s="41" t="str">
        <x:v>Weekday</x:v>
      </x:c>
      <x:c r="F132" s="41" t="str">
        <x:v>Vol. II — Lent, Triduum &amp; Easter</x:v>
      </x:c>
      <x:c r="G132" s="42" t="str">
        <x:v>Psalter Week I</x:v>
      </x:c>
      <x:c r="H132" s="42" t="str">
        <x:v>Proper of Seasons + Psalter Week I; weekday Office of Readings.</x:v>
      </x:c>
      <x:c r="I132" s="42" t="str">
        <x:v>Proper of Seasons + Psalter Week I; weekday Morning Prayer.</x:v>
      </x:c>
      <x:c r="J132" s="42" t="str">
        <x:v>Proper of Seasons + Psalter Week I; choose Midmorning, Midday, or Midafternoon Prayer.</x:v>
      </x:c>
      <x:c r="K132" s="42" t="str">
        <x:v>Proper of Seasons + Psalter Week I; weekday Evening Prayer.</x:v>
      </x:c>
      <x:c r="L132" s="42" t="str">
        <x:v>Night Prayer for Monday.</x:v>
      </x:c>
      <x:c r="M13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33">
      <x:c r="A133" s="40" t="n">
        <x:v>46147</x:v>
      </x:c>
      <x:c r="B133" s="41" t="str">
        <x:v>Tuesday</x:v>
      </x:c>
      <x:c r="C133" s="136" t="str">
        <x:v>Easter</x:v>
      </x:c>
      <x:c r="D133" s="41" t="str">
        <x:v>Easter Weekday</x:v>
      </x:c>
      <x:c r="E133" s="41" t="str">
        <x:v>Weekday</x:v>
      </x:c>
      <x:c r="F133" s="41" t="str">
        <x:v>Vol. II — Lent, Triduum &amp; Easter</x:v>
      </x:c>
      <x:c r="G133" s="42" t="str">
        <x:v>Psalter Week I</x:v>
      </x:c>
      <x:c r="H133" s="42" t="str">
        <x:v>Proper of Seasons + Psalter Week I; weekday Office of Readings.</x:v>
      </x:c>
      <x:c r="I133" s="42" t="str">
        <x:v>Proper of Seasons + Psalter Week I; weekday Morning Prayer.</x:v>
      </x:c>
      <x:c r="J133" s="42" t="str">
        <x:v>Proper of Seasons + Psalter Week I; choose Midmorning, Midday, or Midafternoon Prayer.</x:v>
      </x:c>
      <x:c r="K133" s="42" t="str">
        <x:v>Proper of Seasons + Psalter Week I; weekday Evening Prayer.</x:v>
      </x:c>
      <x:c r="L133" s="42" t="str">
        <x:v>Night Prayer for Tuesday.</x:v>
      </x:c>
      <x:c r="M13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34">
      <x:c r="A134" s="40" t="n">
        <x:v>46148</x:v>
      </x:c>
      <x:c r="B134" s="41" t="str">
        <x:v>Wednesday</x:v>
      </x:c>
      <x:c r="C134" s="136" t="str">
        <x:v>Easter</x:v>
      </x:c>
      <x:c r="D134" s="41" t="str">
        <x:v>Easter Weekday</x:v>
      </x:c>
      <x:c r="E134" s="41" t="str">
        <x:v>Weekday</x:v>
      </x:c>
      <x:c r="F134" s="41" t="str">
        <x:v>Vol. II — Lent, Triduum &amp; Easter</x:v>
      </x:c>
      <x:c r="G134" s="42" t="str">
        <x:v>Psalter Week I</x:v>
      </x:c>
      <x:c r="H134" s="42" t="str">
        <x:v>Proper of Seasons + Psalter Week I; weekday Office of Readings.</x:v>
      </x:c>
      <x:c r="I134" s="42" t="str">
        <x:v>Proper of Seasons + Psalter Week I; weekday Morning Prayer.</x:v>
      </x:c>
      <x:c r="J134" s="42" t="str">
        <x:v>Proper of Seasons + Psalter Week I; choose Midmorning, Midday, or Midafternoon Prayer.</x:v>
      </x:c>
      <x:c r="K134" s="42" t="str">
        <x:v>Proper of Seasons + Psalter Week I; weekday Evening Prayer.</x:v>
      </x:c>
      <x:c r="L134" s="42" t="str">
        <x:v>Night Prayer for Wednesday.</x:v>
      </x:c>
      <x:c r="M13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35">
      <x:c r="A135" s="40" t="n">
        <x:v>46149</x:v>
      </x:c>
      <x:c r="B135" s="41" t="str">
        <x:v>Thursday</x:v>
      </x:c>
      <x:c r="C135" s="136" t="str">
        <x:v>Easter</x:v>
      </x:c>
      <x:c r="D135" s="41" t="str">
        <x:v>Easter Weekday</x:v>
      </x:c>
      <x:c r="E135" s="41" t="str">
        <x:v>Weekday</x:v>
      </x:c>
      <x:c r="F135" s="41" t="str">
        <x:v>Vol. II — Lent, Triduum &amp; Easter</x:v>
      </x:c>
      <x:c r="G135" s="42" t="str">
        <x:v>Psalter Week I</x:v>
      </x:c>
      <x:c r="H135" s="42" t="str">
        <x:v>Proper of Seasons + Psalter Week I; weekday Office of Readings.</x:v>
      </x:c>
      <x:c r="I135" s="42" t="str">
        <x:v>Proper of Seasons + Psalter Week I; weekday Morning Prayer.</x:v>
      </x:c>
      <x:c r="J135" s="42" t="str">
        <x:v>Proper of Seasons + Psalter Week I; choose Midmorning, Midday, or Midafternoon Prayer.</x:v>
      </x:c>
      <x:c r="K135" s="42" t="str">
        <x:v>Proper of Seasons + Psalter Week I; weekday Evening Prayer.</x:v>
      </x:c>
      <x:c r="L135" s="42" t="str">
        <x:v>Night Prayer for Thursday.</x:v>
      </x:c>
      <x:c r="M13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36">
      <x:c r="A136" s="40" t="n">
        <x:v>46150</x:v>
      </x:c>
      <x:c r="B136" s="41" t="str">
        <x:v>Friday</x:v>
      </x:c>
      <x:c r="C136" s="136" t="str">
        <x:v>Easter</x:v>
      </x:c>
      <x:c r="D136" s="41" t="str">
        <x:v>Easter Weekday</x:v>
      </x:c>
      <x:c r="E136" s="41" t="str">
        <x:v>Weekday</x:v>
      </x:c>
      <x:c r="F136" s="41" t="str">
        <x:v>Vol. II — Lent, Triduum &amp; Easter</x:v>
      </x:c>
      <x:c r="G136" s="42" t="str">
        <x:v>Psalter Week I</x:v>
      </x:c>
      <x:c r="H136" s="42" t="str">
        <x:v>Proper of Seasons + Psalter Week I; weekday Office of Readings.</x:v>
      </x:c>
      <x:c r="I136" s="42" t="str">
        <x:v>Proper of Seasons + Psalter Week I; weekday Morning Prayer.</x:v>
      </x:c>
      <x:c r="J136" s="42" t="str">
        <x:v>Proper of Seasons + Psalter Week I; choose Midmorning, Midday, or Midafternoon Prayer.</x:v>
      </x:c>
      <x:c r="K136" s="42" t="str">
        <x:v>Proper of Seasons + Psalter Week I; weekday Evening Prayer.</x:v>
      </x:c>
      <x:c r="L136" s="42" t="str">
        <x:v>Night Prayer for Friday.</x:v>
      </x:c>
      <x:c r="M13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37">
      <x:c r="A137" s="40" t="n">
        <x:v>46151</x:v>
      </x:c>
      <x:c r="B137" s="41" t="str">
        <x:v>Saturday</x:v>
      </x:c>
      <x:c r="C137" s="136" t="str">
        <x:v>Easter</x:v>
      </x:c>
      <x:c r="D137" s="41" t="str">
        <x:v>Easter Weekday</x:v>
      </x:c>
      <x:c r="E137" s="41" t="str">
        <x:v>Weekday</x:v>
      </x:c>
      <x:c r="F137" s="41" t="str">
        <x:v>Vol. II — Lent, Triduum &amp; Easter</x:v>
      </x:c>
      <x:c r="G137" s="42" t="str">
        <x:v>Psalter Week I</x:v>
      </x:c>
      <x:c r="H137" s="42" t="str">
        <x:v>Proper of Seasons + Psalter Week I; weekday Office of Readings.</x:v>
      </x:c>
      <x:c r="I137" s="42" t="str">
        <x:v>Proper of Seasons + Psalter Week I; weekday Morning Prayer.</x:v>
      </x:c>
      <x:c r="J137" s="42" t="str">
        <x:v>Proper of Seasons + Psalter Week I; choose Midmorning, Midday, or Midafternoon Prayer.</x:v>
      </x:c>
      <x:c r="K137" s="42" t="str">
        <x:v>First Vespers of Sunday: Sixth Sunday of Easter — Proper of Seasons + tomorrow's Psalter week.</x:v>
      </x:c>
      <x:c r="L137" s="42" t="str">
        <x:v>Night Prayer I of Sunday after First Vespers.</x:v>
      </x:c>
      <x:c r="M137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38">
      <x:c r="A138" s="40" t="n">
        <x:v>46152</x:v>
      </x:c>
      <x:c r="B138" s="41" t="str">
        <x:v>Sunday</x:v>
      </x:c>
      <x:c r="C138" s="136" t="str">
        <x:v>Easter</x:v>
      </x:c>
      <x:c r="D138" s="41" t="str">
        <x:v>Sixth Sunday of Easter</x:v>
      </x:c>
      <x:c r="E138" s="41" t="str">
        <x:v>Sunday</x:v>
      </x:c>
      <x:c r="F138" s="41" t="str">
        <x:v>Vol. II — Lent, Triduum &amp; Easter</x:v>
      </x:c>
      <x:c r="G138" s="42" t="str">
        <x:v>Psalter Week II</x:v>
      </x:c>
      <x:c r="H138" s="42" t="str">
        <x:v>Proper of Seasons + Psalter Week II; Office of Readings for Sunday.</x:v>
      </x:c>
      <x:c r="I138" s="42" t="str">
        <x:v>Proper of Seasons + Psalter Week II; Morning Prayer for Sunday.</x:v>
      </x:c>
      <x:c r="J138" s="42" t="str">
        <x:v>Psalter Week II; Sunday Daytime Prayer + seasonal proper.</x:v>
      </x:c>
      <x:c r="K138" s="42" t="str">
        <x:v>Evening Prayer II of Sunday — Proper of Seasons + Psalter Week II.</x:v>
      </x:c>
      <x:c r="L138" s="42" t="str">
        <x:v>Night Prayer II of Sunday.</x:v>
      </x:c>
      <x:c r="M138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39">
      <x:c r="A139" s="40" t="n">
        <x:v>46153</x:v>
      </x:c>
      <x:c r="B139" s="41" t="str">
        <x:v>Monday</x:v>
      </x:c>
      <x:c r="C139" s="136" t="str">
        <x:v>Easter</x:v>
      </x:c>
      <x:c r="D139" s="41" t="str">
        <x:v>Easter Weekday</x:v>
      </x:c>
      <x:c r="E139" s="41" t="str">
        <x:v>Weekday</x:v>
      </x:c>
      <x:c r="F139" s="41" t="str">
        <x:v>Vol. II — Lent, Triduum &amp; Easter</x:v>
      </x:c>
      <x:c r="G139" s="42" t="str">
        <x:v>Psalter Week II</x:v>
      </x:c>
      <x:c r="H139" s="42" t="str">
        <x:v>Proper of Seasons + Psalter Week II; weekday Office of Readings.</x:v>
      </x:c>
      <x:c r="I139" s="42" t="str">
        <x:v>Proper of Seasons + Psalter Week II; weekday Morning Prayer.</x:v>
      </x:c>
      <x:c r="J139" s="42" t="str">
        <x:v>Proper of Seasons + Psalter Week II; choose Midmorning, Midday, or Midafternoon Prayer.</x:v>
      </x:c>
      <x:c r="K139" s="42" t="str">
        <x:v>Proper of Seasons + Psalter Week II; weekday Evening Prayer.</x:v>
      </x:c>
      <x:c r="L139" s="42" t="str">
        <x:v>Night Prayer for Monday.</x:v>
      </x:c>
      <x:c r="M13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40">
      <x:c r="A140" s="40" t="n">
        <x:v>46154</x:v>
      </x:c>
      <x:c r="B140" s="41" t="str">
        <x:v>Tuesday</x:v>
      </x:c>
      <x:c r="C140" s="136" t="str">
        <x:v>Easter</x:v>
      </x:c>
      <x:c r="D140" s="41" t="str">
        <x:v>Easter Weekday</x:v>
      </x:c>
      <x:c r="E140" s="41" t="str">
        <x:v>Weekday</x:v>
      </x:c>
      <x:c r="F140" s="41" t="str">
        <x:v>Vol. II — Lent, Triduum &amp; Easter</x:v>
      </x:c>
      <x:c r="G140" s="42" t="str">
        <x:v>Psalter Week II</x:v>
      </x:c>
      <x:c r="H140" s="42" t="str">
        <x:v>Proper of Seasons + Psalter Week II; weekday Office of Readings. Optional memorial may be inserted from the Proper of Saints if chosen.</x:v>
      </x:c>
      <x:c r="I140" s="42" t="str">
        <x:v>Proper of Seasons + Psalter Week II; weekday Morning Prayer. Optional memorial may be inserted from the Proper of Saints if chosen.</x:v>
      </x:c>
      <x:c r="J140" s="42" t="str">
        <x:v>Proper of Seasons + Psalter Week II; choose Midmorning, Midday, or Midafternoon Prayer.</x:v>
      </x:c>
      <x:c r="K140" s="42" t="str">
        <x:v>Proper of Seasons + Psalter Week II; weekday Evening Prayer. Optional memorial may be inserted from the Proper of Saints if chosen.</x:v>
      </x:c>
      <x:c r="L140" s="42" t="str">
        <x:v>Night Prayer for Tuesday.</x:v>
      </x:c>
      <x:c r="M14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41">
      <x:c r="A141" s="40" t="n">
        <x:v>46155</x:v>
      </x:c>
      <x:c r="B141" s="41" t="str">
        <x:v>Wednesday</x:v>
      </x:c>
      <x:c r="C141" s="136" t="str">
        <x:v>Easter</x:v>
      </x:c>
      <x:c r="D141" s="41" t="str">
        <x:v>Easter Weekday</x:v>
      </x:c>
      <x:c r="E141" s="41" t="str">
        <x:v>Weekday</x:v>
      </x:c>
      <x:c r="F141" s="41" t="str">
        <x:v>Vol. II — Lent, Triduum &amp; Easter</x:v>
      </x:c>
      <x:c r="G141" s="42" t="str">
        <x:v>Psalter Week II</x:v>
      </x:c>
      <x:c r="H141" s="42" t="str">
        <x:v>Proper of Seasons + Psalter Week II; weekday Office of Readings. Optional memorial may be inserted from the Proper of Saints if chosen.</x:v>
      </x:c>
      <x:c r="I141" s="42" t="str">
        <x:v>Proper of Seasons + Psalter Week II; weekday Morning Prayer. Optional memorial may be inserted from the Proper of Saints if chosen.</x:v>
      </x:c>
      <x:c r="J141" s="42" t="str">
        <x:v>Proper of Seasons + Psalter Week II; choose Midmorning, Midday, or Midafternoon Prayer.</x:v>
      </x:c>
      <x:c r="K141" s="42" t="str">
        <x:v>Proper of Seasons + Psalter Week II; weekday Evening Prayer. Optional memorial may be inserted from the Proper of Saints if chosen.</x:v>
      </x:c>
      <x:c r="L141" s="42" t="str">
        <x:v>Night Prayer for Wednesday.</x:v>
      </x:c>
      <x:c r="M14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42">
      <x:c r="A142" s="40" t="n">
        <x:v>46156</x:v>
      </x:c>
      <x:c r="B142" s="41" t="str">
        <x:v>Thursday</x:v>
      </x:c>
      <x:c r="C142" s="136" t="str">
        <x:v>Easter</x:v>
      </x:c>
      <x:c r="D142" s="131" t="str">
        <x:v>Saint Matthias, Apostle</x:v>
      </x:c>
      <x:c r="E142" s="131" t="str">
        <x:v>Feast</x:v>
      </x:c>
      <x:c r="F142" s="131" t="str">
        <x:v>Vol. II — Lent, Triduum &amp; Easter</x:v>
      </x:c>
      <x:c r="G142" s="132" t="str">
        <x:v>Proper / Common</x:v>
      </x:c>
      <x:c r="H142" s="42" t="str">
        <x:v>Proper of Seasons/Saints → Feast; use Common where directed.</x:v>
      </x:c>
      <x:c r="I142" s="42" t="str">
        <x:v>Proper of the Feast/Common as directed; use feast psalmody where provided.</x:v>
      </x:c>
      <x:c r="J142" s="42" t="str">
        <x:v>Proper / Common; Daytime Prayer of the season, with the feast's proper elements where directed.</x:v>
      </x:c>
      <x:c r="K142" s="42" t="str">
        <x:v>Proper of the Feast/Common as directed for Evening Prayer.</x:v>
      </x:c>
      <x:c r="L142" s="42" t="str">
        <x:v>Night Prayer for Thursday.</x:v>
      </x:c>
      <x:c r="M142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143">
      <x:c r="A143" s="40" t="n">
        <x:v>46157</x:v>
      </x:c>
      <x:c r="B143" s="41" t="str">
        <x:v>Friday</x:v>
      </x:c>
      <x:c r="C143" s="136" t="str">
        <x:v>Easter</x:v>
      </x:c>
      <x:c r="D143" s="41" t="str">
        <x:v>Easter Weekday</x:v>
      </x:c>
      <x:c r="E143" s="41" t="str">
        <x:v>Weekday</x:v>
      </x:c>
      <x:c r="F143" s="41" t="str">
        <x:v>Vol. II — Lent, Triduum &amp; Easter</x:v>
      </x:c>
      <x:c r="G143" s="42" t="str">
        <x:v>Psalter Week II</x:v>
      </x:c>
      <x:c r="H143" s="42" t="str">
        <x:v>Proper of Seasons + Psalter Week II; weekday Office of Readings. Optional memorial may be inserted from the Proper of Saints if chosen.</x:v>
      </x:c>
      <x:c r="I143" s="42" t="str">
        <x:v>Proper of Seasons + Psalter Week II; weekday Morning Prayer. Optional memorial may be inserted from the Proper of Saints if chosen.</x:v>
      </x:c>
      <x:c r="J143" s="42" t="str">
        <x:v>Proper of Seasons + Psalter Week II; choose Midmorning, Midday, or Midafternoon Prayer.</x:v>
      </x:c>
      <x:c r="K143" s="42" t="str">
        <x:v>Proper of Seasons + Psalter Week II; weekday Evening Prayer. Optional memorial may be inserted from the Proper of Saints if chosen.</x:v>
      </x:c>
      <x:c r="L143" s="42" t="str">
        <x:v>Night Prayer for Friday.</x:v>
      </x:c>
      <x:c r="M14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44">
      <x:c r="A144" s="40" t="n">
        <x:v>46158</x:v>
      </x:c>
      <x:c r="B144" s="41" t="str">
        <x:v>Saturday</x:v>
      </x:c>
      <x:c r="C144" s="136" t="str">
        <x:v>Easter</x:v>
      </x:c>
      <x:c r="D144" s="41" t="str">
        <x:v>Easter Weekday</x:v>
      </x:c>
      <x:c r="E144" s="41" t="str">
        <x:v>Weekday</x:v>
      </x:c>
      <x:c r="F144" s="41" t="str">
        <x:v>Vol. II — Lent, Triduum &amp; Easter</x:v>
      </x:c>
      <x:c r="G144" s="42" t="str">
        <x:v>Psalter Week II</x:v>
      </x:c>
      <x:c r="H144" s="42" t="str">
        <x:v>Proper of Seasons + Psalter Week II; weekday Office of Readings.</x:v>
      </x:c>
      <x:c r="I144" s="42" t="str">
        <x:v>Proper of Seasons + Psalter Week II; weekday Morning Prayer.</x:v>
      </x:c>
      <x:c r="J144" s="42" t="str">
        <x:v>Proper of Seasons + Psalter Week II; choose Midmorning, Midday, or Midafternoon Prayer.</x:v>
      </x:c>
      <x:c r="K144" s="42" t="str">
        <x:v>First Vespers of tomorrow's solemnity: Ascension of the Lord — celebrated Sunday in most U.S. provinces — Proper/Common as directed.</x:v>
      </x:c>
      <x:c r="L144" s="42" t="str">
        <x:v>Night Prayer I of Sunday/Solemnity after First Vespers.</x:v>
      </x:c>
      <x:c r="M144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45">
      <x:c r="A145" s="40" t="n">
        <x:v>46159</x:v>
      </x:c>
      <x:c r="B145" s="41" t="str">
        <x:v>Sunday</x:v>
      </x:c>
      <x:c r="C145" s="136" t="str">
        <x:v>Easter</x:v>
      </x:c>
      <x:c r="D145" s="131" t="str">
        <x:v>Ascension of the Lord — celebrated Sunday in most U.S. provinces</x:v>
      </x:c>
      <x:c r="E145" s="131" t="str">
        <x:v>Solemnity</x:v>
      </x:c>
      <x:c r="F145" s="131" t="str">
        <x:v>Vol. II — Lent, Triduum &amp; Easter</x:v>
      </x:c>
      <x:c r="G145" s="132" t="str">
        <x:v>Proper / Common</x:v>
      </x:c>
      <x:c r="H145" s="42" t="str">
        <x:v>Proper of Seasons/Saints → Solemnity; use Common only where the proper directs.</x:v>
      </x:c>
      <x:c r="I145" s="42" t="str">
        <x:v>Proper of Seasons/Saints → Morning Prayer of the solemnity.</x:v>
      </x:c>
      <x:c r="J145" s="42" t="str">
        <x:v>Daytime Prayer of the solemnity; use complementary psalmody if the rubric directs.</x:v>
      </x:c>
      <x:c r="K145" s="42" t="str">
        <x:v>Evening Prayer II of the solemnity (Proper/Common as directed).</x:v>
      </x:c>
      <x:c r="L145" s="42" t="str">
        <x:v>Night Prayer II of Sunday/Solemnity after Evening Prayer II.</x:v>
      </x:c>
      <x:c r="M145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46">
      <x:c r="A146" s="40" t="n">
        <x:v>46160</x:v>
      </x:c>
      <x:c r="B146" s="41" t="str">
        <x:v>Monday</x:v>
      </x:c>
      <x:c r="C146" s="136" t="str">
        <x:v>Easter</x:v>
      </x:c>
      <x:c r="D146" s="41" t="str">
        <x:v>Easter Weekday</x:v>
      </x:c>
      <x:c r="E146" s="41" t="str">
        <x:v>Weekday</x:v>
      </x:c>
      <x:c r="F146" s="41" t="str">
        <x:v>Vol. II — Lent, Triduum &amp; Easter</x:v>
      </x:c>
      <x:c r="G146" s="42" t="str">
        <x:v>Psalter Week III</x:v>
      </x:c>
      <x:c r="H146" s="42" t="str">
        <x:v>Proper of Seasons + Psalter Week III; weekday Office of Readings. Optional memorial may be inserted from the Proper of Saints if chosen.</x:v>
      </x:c>
      <x:c r="I146" s="42" t="str">
        <x:v>Proper of Seasons + Psalter Week III; weekday Morning Prayer. Optional memorial may be inserted from the Proper of Saints if chosen.</x:v>
      </x:c>
      <x:c r="J146" s="42" t="str">
        <x:v>Proper of Seasons + Psalter Week III; choose Midmorning, Midday, or Midafternoon Prayer.</x:v>
      </x:c>
      <x:c r="K146" s="42" t="str">
        <x:v>Proper of Seasons + Psalter Week III; weekday Evening Prayer. Optional memorial may be inserted from the Proper of Saints if chosen.</x:v>
      </x:c>
      <x:c r="L146" s="42" t="str">
        <x:v>Night Prayer for Monday.</x:v>
      </x:c>
      <x:c r="M14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47">
      <x:c r="A147" s="40" t="n">
        <x:v>46161</x:v>
      </x:c>
      <x:c r="B147" s="41" t="str">
        <x:v>Tuesday</x:v>
      </x:c>
      <x:c r="C147" s="136" t="str">
        <x:v>Easter</x:v>
      </x:c>
      <x:c r="D147" s="41" t="str">
        <x:v>Easter Weekday</x:v>
      </x:c>
      <x:c r="E147" s="41" t="str">
        <x:v>Weekday</x:v>
      </x:c>
      <x:c r="F147" s="41" t="str">
        <x:v>Vol. II — Lent, Triduum &amp; Easter</x:v>
      </x:c>
      <x:c r="G147" s="42" t="str">
        <x:v>Psalter Week III</x:v>
      </x:c>
      <x:c r="H147" s="42" t="str">
        <x:v>Proper of Seasons + Psalter Week III; weekday Office of Readings.</x:v>
      </x:c>
      <x:c r="I147" s="42" t="str">
        <x:v>Proper of Seasons + Psalter Week III; weekday Morning Prayer.</x:v>
      </x:c>
      <x:c r="J147" s="42" t="str">
        <x:v>Proper of Seasons + Psalter Week III; choose Midmorning, Midday, or Midafternoon Prayer.</x:v>
      </x:c>
      <x:c r="K147" s="42" t="str">
        <x:v>Proper of Seasons + Psalter Week III; weekday Evening Prayer.</x:v>
      </x:c>
      <x:c r="L147" s="42" t="str">
        <x:v>Night Prayer for Tuesday.</x:v>
      </x:c>
      <x:c r="M14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48">
      <x:c r="A148" s="40" t="n">
        <x:v>46162</x:v>
      </x:c>
      <x:c r="B148" s="41" t="str">
        <x:v>Wednesday</x:v>
      </x:c>
      <x:c r="C148" s="136" t="str">
        <x:v>Easter</x:v>
      </x:c>
      <x:c r="D148" s="41" t="str">
        <x:v>Easter Weekday</x:v>
      </x:c>
      <x:c r="E148" s="41" t="str">
        <x:v>Weekday</x:v>
      </x:c>
      <x:c r="F148" s="41" t="str">
        <x:v>Vol. II — Lent, Triduum &amp; Easter</x:v>
      </x:c>
      <x:c r="G148" s="42" t="str">
        <x:v>Psalter Week III</x:v>
      </x:c>
      <x:c r="H148" s="42" t="str">
        <x:v>Proper of Seasons + Psalter Week III; weekday Office of Readings. Optional memorial may be inserted from the Proper of Saints if chosen.</x:v>
      </x:c>
      <x:c r="I148" s="42" t="str">
        <x:v>Proper of Seasons + Psalter Week III; weekday Morning Prayer. Optional memorial may be inserted from the Proper of Saints if chosen.</x:v>
      </x:c>
      <x:c r="J148" s="42" t="str">
        <x:v>Proper of Seasons + Psalter Week III; choose Midmorning, Midday, or Midafternoon Prayer.</x:v>
      </x:c>
      <x:c r="K148" s="42" t="str">
        <x:v>Proper of Seasons + Psalter Week III; weekday Evening Prayer. Optional memorial may be inserted from the Proper of Saints if chosen.</x:v>
      </x:c>
      <x:c r="L148" s="42" t="str">
        <x:v>Night Prayer for Wednesday.</x:v>
      </x:c>
      <x:c r="M14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49">
      <x:c r="A149" s="40" t="n">
        <x:v>46163</x:v>
      </x:c>
      <x:c r="B149" s="41" t="str">
        <x:v>Thursday</x:v>
      </x:c>
      <x:c r="C149" s="136" t="str">
        <x:v>Easter</x:v>
      </x:c>
      <x:c r="D149" s="41" t="str">
        <x:v>Easter Weekday</x:v>
      </x:c>
      <x:c r="E149" s="41" t="str">
        <x:v>Weekday</x:v>
      </x:c>
      <x:c r="F149" s="41" t="str">
        <x:v>Vol. II — Lent, Triduum &amp; Easter</x:v>
      </x:c>
      <x:c r="G149" s="42" t="str">
        <x:v>Psalter Week III</x:v>
      </x:c>
      <x:c r="H149" s="42" t="str">
        <x:v>Proper of Seasons + Psalter Week III; weekday Office of Readings. Optional memorial may be inserted from the Proper of Saints if chosen.</x:v>
      </x:c>
      <x:c r="I149" s="42" t="str">
        <x:v>Proper of Seasons + Psalter Week III; weekday Morning Prayer. Optional memorial may be inserted from the Proper of Saints if chosen.</x:v>
      </x:c>
      <x:c r="J149" s="42" t="str">
        <x:v>Proper of Seasons + Psalter Week III; choose Midmorning, Midday, or Midafternoon Prayer.</x:v>
      </x:c>
      <x:c r="K149" s="42" t="str">
        <x:v>Proper of Seasons + Psalter Week III; weekday Evening Prayer. Optional memorial may be inserted from the Proper of Saints if chosen.</x:v>
      </x:c>
      <x:c r="L149" s="42" t="str">
        <x:v>Night Prayer for Thursday.</x:v>
      </x:c>
      <x:c r="M14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50">
      <x:c r="A150" s="40" t="n">
        <x:v>46164</x:v>
      </x:c>
      <x:c r="B150" s="41" t="str">
        <x:v>Friday</x:v>
      </x:c>
      <x:c r="C150" s="136" t="str">
        <x:v>Easter</x:v>
      </x:c>
      <x:c r="D150" s="41" t="str">
        <x:v>Easter Weekday</x:v>
      </x:c>
      <x:c r="E150" s="41" t="str">
        <x:v>Weekday</x:v>
      </x:c>
      <x:c r="F150" s="41" t="str">
        <x:v>Vol. II — Lent, Triduum &amp; Easter</x:v>
      </x:c>
      <x:c r="G150" s="42" t="str">
        <x:v>Psalter Week III</x:v>
      </x:c>
      <x:c r="H150" s="42" t="str">
        <x:v>Proper of Seasons + Psalter Week III; weekday Office of Readings. Optional memorial may be inserted from the Proper of Saints if chosen.</x:v>
      </x:c>
      <x:c r="I150" s="42" t="str">
        <x:v>Proper of Seasons + Psalter Week III; weekday Morning Prayer. Optional memorial may be inserted from the Proper of Saints if chosen.</x:v>
      </x:c>
      <x:c r="J150" s="42" t="str">
        <x:v>Proper of Seasons + Psalter Week III; choose Midmorning, Midday, or Midafternoon Prayer.</x:v>
      </x:c>
      <x:c r="K150" s="42" t="str">
        <x:v>Proper of Seasons + Psalter Week III; weekday Evening Prayer. Optional memorial may be inserted from the Proper of Saints if chosen.</x:v>
      </x:c>
      <x:c r="L150" s="42" t="str">
        <x:v>Night Prayer for Friday.</x:v>
      </x:c>
      <x:c r="M15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51">
      <x:c r="A151" s="40" t="n">
        <x:v>46165</x:v>
      </x:c>
      <x:c r="B151" s="41" t="str">
        <x:v>Saturday</x:v>
      </x:c>
      <x:c r="C151" s="136" t="str">
        <x:v>Easter</x:v>
      </x:c>
      <x:c r="D151" s="41" t="str">
        <x:v>Easter Weekday</x:v>
      </x:c>
      <x:c r="E151" s="41" t="str">
        <x:v>Weekday</x:v>
      </x:c>
      <x:c r="F151" s="41" t="str">
        <x:v>Vol. II — Lent, Triduum &amp; Easter</x:v>
      </x:c>
      <x:c r="G151" s="42" t="str">
        <x:v>Psalter Week III</x:v>
      </x:c>
      <x:c r="H151" s="42" t="str">
        <x:v>Proper of Seasons + Psalter Week III; weekday Office of Readings.</x:v>
      </x:c>
      <x:c r="I151" s="42" t="str">
        <x:v>Proper of Seasons + Psalter Week III; weekday Morning Prayer.</x:v>
      </x:c>
      <x:c r="J151" s="42" t="str">
        <x:v>Proper of Seasons + Psalter Week III; choose Midmorning, Midday, or Midafternoon Prayer.</x:v>
      </x:c>
      <x:c r="K151" s="42" t="str">
        <x:v>First Vespers of tomorrow's solemnity: Pentecost Sunday — Proper/Common as directed.</x:v>
      </x:c>
      <x:c r="L151" s="42" t="str">
        <x:v>Night Prayer I of Sunday/Solemnity after First Vespers.</x:v>
      </x:c>
      <x:c r="M151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52">
      <x:c r="A152" s="40" t="n">
        <x:v>46166</x:v>
      </x:c>
      <x:c r="B152" s="41" t="str">
        <x:v>Sunday</x:v>
      </x:c>
      <x:c r="C152" s="136" t="str">
        <x:v>Easter</x:v>
      </x:c>
      <x:c r="D152" s="131" t="str">
        <x:v>Pentecost Sunday</x:v>
      </x:c>
      <x:c r="E152" s="131" t="str">
        <x:v>Solemnity</x:v>
      </x:c>
      <x:c r="F152" s="131" t="str">
        <x:v>Vol. II — Lent, Triduum &amp; Easter</x:v>
      </x:c>
      <x:c r="G152" s="132" t="str">
        <x:v>Proper / Common</x:v>
      </x:c>
      <x:c r="H152" s="42" t="str">
        <x:v>Proper of Seasons/Saints → Solemnity; use Common only where the proper directs.</x:v>
      </x:c>
      <x:c r="I152" s="42" t="str">
        <x:v>Proper of Seasons/Saints → Morning Prayer of the solemnity.</x:v>
      </x:c>
      <x:c r="J152" s="42" t="str">
        <x:v>Daytime Prayer of the solemnity; use complementary psalmody if the rubric directs.</x:v>
      </x:c>
      <x:c r="K152" s="42" t="str">
        <x:v>Evening Prayer II of the solemnity (Proper/Common as directed).</x:v>
      </x:c>
      <x:c r="L152" s="42" t="str">
        <x:v>Night Prayer II of Sunday/Solemnity after Evening Prayer II.</x:v>
      </x:c>
      <x:c r="M152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53">
      <x:c r="A153" s="40" t="n">
        <x:v>46167</x:v>
      </x:c>
      <x:c r="B153" s="41" t="str">
        <x:v>Monday</x:v>
      </x:c>
      <x:c r="C153" s="133" t="str">
        <x:v>Ordinary Time</x:v>
      </x:c>
      <x:c r="D153" s="41" t="str">
        <x:v>Blessed Virgin Mary, Mother of the Church</x:v>
      </x:c>
      <x:c r="E153" s="41" t="str">
        <x:v>Memorial</x:v>
      </x:c>
      <x:c r="F153" s="41" t="str">
        <x:v>Vol. III — Ordinary Time</x:v>
      </x:c>
      <x:c r="G153" s="42" t="str">
        <x:v>Psalter Week IV (OT Week 8)</x:v>
      </x:c>
      <x:c r="H153" s="42" t="str">
        <x:v>Psalter Week IV (OT Week 8); Proper of Saints for the saint's proper reading/prayer; Common where directed.</x:v>
      </x:c>
      <x:c r="I153" s="42" t="str">
        <x:v>Psalter Week IV (OT Week 8); Morning Prayer with Proper of Saints/Common elements as directed.</x:v>
      </x:c>
      <x:c r="J153" s="42" t="str">
        <x:v>Psalter Week IV (OT Week 8); Daytime Prayer of the season; use the memorial's concluding prayer where directed.</x:v>
      </x:c>
      <x:c r="K153" s="42" t="str">
        <x:v>Psalter Week IV (OT Week 8); Evening Prayer with Proper of Saints/Common elements as directed.</x:v>
      </x:c>
      <x:c r="L153" s="42" t="str">
        <x:v>Night Prayer for Monday.</x:v>
      </x:c>
      <x:c r="M153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54">
      <x:c r="A154" s="40" t="n">
        <x:v>46168</x:v>
      </x:c>
      <x:c r="B154" s="41" t="str">
        <x:v>Tuesday</x:v>
      </x:c>
      <x:c r="C154" s="133" t="str">
        <x:v>Ordinary Time</x:v>
      </x:c>
      <x:c r="D154" s="41" t="str">
        <x:v>Saint Philip Neri</x:v>
      </x:c>
      <x:c r="E154" s="41" t="str">
        <x:v>Memorial</x:v>
      </x:c>
      <x:c r="F154" s="41" t="str">
        <x:v>Vol. III — Ordinary Time</x:v>
      </x:c>
      <x:c r="G154" s="42" t="str">
        <x:v>Psalter Week IV (OT Week 8)</x:v>
      </x:c>
      <x:c r="H154" s="42" t="str">
        <x:v>Psalter Week IV (OT Week 8); Proper of Saints for the saint's proper reading/prayer; Common where directed.</x:v>
      </x:c>
      <x:c r="I154" s="42" t="str">
        <x:v>Psalter Week IV (OT Week 8); Morning Prayer with Proper of Saints/Common elements as directed.</x:v>
      </x:c>
      <x:c r="J154" s="42" t="str">
        <x:v>Psalter Week IV (OT Week 8); Daytime Prayer of the season; use the memorial's concluding prayer where directed.</x:v>
      </x:c>
      <x:c r="K154" s="42" t="str">
        <x:v>Psalter Week IV (OT Week 8); Evening Prayer with Proper of Saints/Common elements as directed.</x:v>
      </x:c>
      <x:c r="L154" s="42" t="str">
        <x:v>Night Prayer for Tuesday.</x:v>
      </x:c>
      <x:c r="M15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55">
      <x:c r="A155" s="40" t="n">
        <x:v>46169</x:v>
      </x:c>
      <x:c r="B155" s="41" t="str">
        <x:v>Wednesday</x:v>
      </x:c>
      <x:c r="C155" s="133" t="str">
        <x:v>Ordinary Time</x:v>
      </x:c>
      <x:c r="D155" s="41" t="str">
        <x:v>Weekday in Ordinary Time</x:v>
      </x:c>
      <x:c r="E155" s="41" t="str">
        <x:v>Weekday</x:v>
      </x:c>
      <x:c r="F155" s="41" t="str">
        <x:v>Vol. III — Ordinary Time</x:v>
      </x:c>
      <x:c r="G155" s="42" t="str">
        <x:v>Psalter Week IV (OT Week 8)</x:v>
      </x:c>
      <x:c r="H155" s="42" t="str">
        <x:v>Proper of Seasons + Psalter Week IV (OT Week 8); weekday Office of Readings. Optional memorial may be inserted from the Proper of Saints if chosen.</x:v>
      </x:c>
      <x:c r="I155" s="42" t="str">
        <x:v>Proper of Seasons + Psalter Week IV (OT Week 8); weekday Morning Prayer. Optional memorial may be inserted from the Proper of Saints if chosen.</x:v>
      </x:c>
      <x:c r="J155" s="42" t="str">
        <x:v>Proper of Seasons + Psalter Week IV (OT Week 8); choose Midmorning, Midday, or Midafternoon Prayer.</x:v>
      </x:c>
      <x:c r="K155" s="42" t="str">
        <x:v>Proper of Seasons + Psalter Week IV (OT Week 8); weekday Evening Prayer. Optional memorial may be inserted from the Proper of Saints if chosen.</x:v>
      </x:c>
      <x:c r="L155" s="42" t="str">
        <x:v>Night Prayer for Wednesday.</x:v>
      </x:c>
      <x:c r="M15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56">
      <x:c r="A156" s="40" t="n">
        <x:v>46170</x:v>
      </x:c>
      <x:c r="B156" s="41" t="str">
        <x:v>Thursday</x:v>
      </x:c>
      <x:c r="C156" s="133" t="str">
        <x:v>Ordinary Time</x:v>
      </x:c>
      <x:c r="D156" s="41" t="str">
        <x:v>Weekday in Ordinary Time</x:v>
      </x:c>
      <x:c r="E156" s="41" t="str">
        <x:v>Weekday</x:v>
      </x:c>
      <x:c r="F156" s="41" t="str">
        <x:v>Vol. III — Ordinary Time</x:v>
      </x:c>
      <x:c r="G156" s="42" t="str">
        <x:v>Psalter Week IV (OT Week 8)</x:v>
      </x:c>
      <x:c r="H156" s="42" t="str">
        <x:v>Proper of Seasons + Psalter Week IV (OT Week 8); weekday Office of Readings.</x:v>
      </x:c>
      <x:c r="I156" s="42" t="str">
        <x:v>Proper of Seasons + Psalter Week IV (OT Week 8); weekday Morning Prayer.</x:v>
      </x:c>
      <x:c r="J156" s="42" t="str">
        <x:v>Proper of Seasons + Psalter Week IV (OT Week 8); choose Midmorning, Midday, or Midafternoon Prayer.</x:v>
      </x:c>
      <x:c r="K156" s="42" t="str">
        <x:v>Proper of Seasons + Psalter Week IV (OT Week 8); weekday Evening Prayer.</x:v>
      </x:c>
      <x:c r="L156" s="42" t="str">
        <x:v>Night Prayer for Thursday.</x:v>
      </x:c>
      <x:c r="M15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57">
      <x:c r="A157" s="40" t="n">
        <x:v>46171</x:v>
      </x:c>
      <x:c r="B157" s="41" t="str">
        <x:v>Friday</x:v>
      </x:c>
      <x:c r="C157" s="133" t="str">
        <x:v>Ordinary Time</x:v>
      </x:c>
      <x:c r="D157" s="41" t="str">
        <x:v>Weekday in Ordinary Time</x:v>
      </x:c>
      <x:c r="E157" s="41" t="str">
        <x:v>Weekday</x:v>
      </x:c>
      <x:c r="F157" s="41" t="str">
        <x:v>Vol. III — Ordinary Time</x:v>
      </x:c>
      <x:c r="G157" s="42" t="str">
        <x:v>Psalter Week IV (OT Week 8)</x:v>
      </x:c>
      <x:c r="H157" s="42" t="str">
        <x:v>Proper of Seasons + Psalter Week IV (OT Week 8); weekday Office of Readings. Optional memorial may be inserted from the Proper of Saints if chosen.</x:v>
      </x:c>
      <x:c r="I157" s="42" t="str">
        <x:v>Proper of Seasons + Psalter Week IV (OT Week 8); weekday Morning Prayer. Optional memorial may be inserted from the Proper of Saints if chosen.</x:v>
      </x:c>
      <x:c r="J157" s="42" t="str">
        <x:v>Proper of Seasons + Psalter Week IV (OT Week 8); choose Midmorning, Midday, or Midafternoon Prayer.</x:v>
      </x:c>
      <x:c r="K157" s="42" t="str">
        <x:v>Proper of Seasons + Psalter Week IV (OT Week 8); weekday Evening Prayer. Optional memorial may be inserted from the Proper of Saints if chosen.</x:v>
      </x:c>
      <x:c r="L157" s="42" t="str">
        <x:v>Night Prayer for Friday.</x:v>
      </x:c>
      <x:c r="M15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58">
      <x:c r="A158" s="40" t="n">
        <x:v>46172</x:v>
      </x:c>
      <x:c r="B158" s="41" t="str">
        <x:v>Saturday</x:v>
      </x:c>
      <x:c r="C158" s="133" t="str">
        <x:v>Ordinary Time</x:v>
      </x:c>
      <x:c r="D158" s="41" t="str">
        <x:v>Weekday in Ordinary Time</x:v>
      </x:c>
      <x:c r="E158" s="41" t="str">
        <x:v>Weekday</x:v>
      </x:c>
      <x:c r="F158" s="41" t="str">
        <x:v>Vol. III — Ordinary Time</x:v>
      </x:c>
      <x:c r="G158" s="42" t="str">
        <x:v>Psalter Week IV (OT Week 8)</x:v>
      </x:c>
      <x:c r="H158" s="42" t="str">
        <x:v>Proper of Seasons + Psalter Week IV (OT Week 8); weekday Office of Readings.</x:v>
      </x:c>
      <x:c r="I158" s="42" t="str">
        <x:v>Proper of Seasons + Psalter Week IV (OT Week 8); weekday Morning Prayer.</x:v>
      </x:c>
      <x:c r="J158" s="42" t="str">
        <x:v>Proper of Seasons + Psalter Week IV (OT Week 8); choose Midmorning, Midday, or Midafternoon Prayer.</x:v>
      </x:c>
      <x:c r="K158" s="42" t="str">
        <x:v>First Vespers of tomorrow's solemnity: Most Holy Trinity — Proper/Common as directed.</x:v>
      </x:c>
      <x:c r="L158" s="42" t="str">
        <x:v>Night Prayer I of Sunday/Solemnity after First Vespers.</x:v>
      </x:c>
      <x:c r="M158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59">
      <x:c r="A159" s="40" t="n">
        <x:v>46173</x:v>
      </x:c>
      <x:c r="B159" s="41" t="str">
        <x:v>Sunday</x:v>
      </x:c>
      <x:c r="C159" s="133" t="str">
        <x:v>Ordinary Time</x:v>
      </x:c>
      <x:c r="D159" s="131" t="str">
        <x:v>Most Holy Trinity</x:v>
      </x:c>
      <x:c r="E159" s="131" t="str">
        <x:v>Solemnity</x:v>
      </x:c>
      <x:c r="F159" s="131" t="str">
        <x:v>Vol. III — Ordinary Time</x:v>
      </x:c>
      <x:c r="G159" s="132" t="str">
        <x:v>Proper / Common</x:v>
      </x:c>
      <x:c r="H159" s="42" t="str">
        <x:v>Proper of Seasons/Saints → Solemnity; use Common only where the proper directs.</x:v>
      </x:c>
      <x:c r="I159" s="42" t="str">
        <x:v>Proper of Seasons/Saints → Morning Prayer of the solemnity.</x:v>
      </x:c>
      <x:c r="J159" s="42" t="str">
        <x:v>Daytime Prayer of the solemnity; use complementary psalmody if the rubric directs.</x:v>
      </x:c>
      <x:c r="K159" s="42" t="str">
        <x:v>Evening Prayer II of the solemnity (Proper/Common as directed).</x:v>
      </x:c>
      <x:c r="L159" s="42" t="str">
        <x:v>Night Prayer II of Sunday/Solemnity after Evening Prayer II.</x:v>
      </x:c>
      <x:c r="M159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60">
      <x:c r="A160" s="40" t="n">
        <x:v>46174</x:v>
      </x:c>
      <x:c r="B160" s="41" t="str">
        <x:v>Monday</x:v>
      </x:c>
      <x:c r="C160" s="133" t="str">
        <x:v>Ordinary Time</x:v>
      </x:c>
      <x:c r="D160" s="41" t="str">
        <x:v>Saint Justin</x:v>
      </x:c>
      <x:c r="E160" s="41" t="str">
        <x:v>Memorial</x:v>
      </x:c>
      <x:c r="F160" s="41" t="str">
        <x:v>Vol. III — Ordinary Time</x:v>
      </x:c>
      <x:c r="G160" s="42" t="str">
        <x:v>Psalter Week I (OT Week 9)</x:v>
      </x:c>
      <x:c r="H160" s="42" t="str">
        <x:v>Psalter Week I (OT Week 9); Proper of Saints for the saint's proper reading/prayer; Common where directed.</x:v>
      </x:c>
      <x:c r="I160" s="42" t="str">
        <x:v>Psalter Week I (OT Week 9); Morning Prayer with Proper of Saints/Common elements as directed.</x:v>
      </x:c>
      <x:c r="J160" s="42" t="str">
        <x:v>Psalter Week I (OT Week 9); Daytime Prayer of the season; use the memorial's concluding prayer where directed.</x:v>
      </x:c>
      <x:c r="K160" s="42" t="str">
        <x:v>Psalter Week I (OT Week 9); Evening Prayer with Proper of Saints/Common elements as directed.</x:v>
      </x:c>
      <x:c r="L160" s="42" t="str">
        <x:v>Night Prayer for Monday.</x:v>
      </x:c>
      <x:c r="M160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61">
      <x:c r="A161" s="40" t="n">
        <x:v>46175</x:v>
      </x:c>
      <x:c r="B161" s="41" t="str">
        <x:v>Tuesday</x:v>
      </x:c>
      <x:c r="C161" s="133" t="str">
        <x:v>Ordinary Time</x:v>
      </x:c>
      <x:c r="D161" s="41" t="str">
        <x:v>Weekday in Ordinary Time</x:v>
      </x:c>
      <x:c r="E161" s="41" t="str">
        <x:v>Weekday</x:v>
      </x:c>
      <x:c r="F161" s="41" t="str">
        <x:v>Vol. III — Ordinary Time</x:v>
      </x:c>
      <x:c r="G161" s="42" t="str">
        <x:v>Psalter Week I (OT Week 9)</x:v>
      </x:c>
      <x:c r="H161" s="42" t="str">
        <x:v>Proper of Seasons + Psalter Week I (OT Week 9); weekday Office of Readings. Optional memorial may be inserted from the Proper of Saints if chosen.</x:v>
      </x:c>
      <x:c r="I161" s="42" t="str">
        <x:v>Proper of Seasons + Psalter Week I (OT Week 9); weekday Morning Prayer. Optional memorial may be inserted from the Proper of Saints if chosen.</x:v>
      </x:c>
      <x:c r="J161" s="42" t="str">
        <x:v>Proper of Seasons + Psalter Week I (OT Week 9); choose Midmorning, Midday, or Midafternoon Prayer.</x:v>
      </x:c>
      <x:c r="K161" s="42" t="str">
        <x:v>Proper of Seasons + Psalter Week I (OT Week 9); weekday Evening Prayer. Optional memorial may be inserted from the Proper of Saints if chosen.</x:v>
      </x:c>
      <x:c r="L161" s="42" t="str">
        <x:v>Night Prayer for Tuesday.</x:v>
      </x:c>
      <x:c r="M16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62">
      <x:c r="A162" s="40" t="n">
        <x:v>46176</x:v>
      </x:c>
      <x:c r="B162" s="41" t="str">
        <x:v>Wednesday</x:v>
      </x:c>
      <x:c r="C162" s="133" t="str">
        <x:v>Ordinary Time</x:v>
      </x:c>
      <x:c r="D162" s="41" t="str">
        <x:v>Saint Charles Lwanga and Companions</x:v>
      </x:c>
      <x:c r="E162" s="41" t="str">
        <x:v>Memorial</x:v>
      </x:c>
      <x:c r="F162" s="41" t="str">
        <x:v>Vol. III — Ordinary Time</x:v>
      </x:c>
      <x:c r="G162" s="42" t="str">
        <x:v>Psalter Week I (OT Week 9)</x:v>
      </x:c>
      <x:c r="H162" s="42" t="str">
        <x:v>Psalter Week I (OT Week 9); Proper of Saints for the saint's proper reading/prayer; Common where directed.</x:v>
      </x:c>
      <x:c r="I162" s="42" t="str">
        <x:v>Psalter Week I (OT Week 9); Morning Prayer with Proper of Saints/Common elements as directed.</x:v>
      </x:c>
      <x:c r="J162" s="42" t="str">
        <x:v>Psalter Week I (OT Week 9); Daytime Prayer of the season; use the memorial's concluding prayer where directed.</x:v>
      </x:c>
      <x:c r="K162" s="42" t="str">
        <x:v>Psalter Week I (OT Week 9); Evening Prayer with Proper of Saints/Common elements as directed.</x:v>
      </x:c>
      <x:c r="L162" s="42" t="str">
        <x:v>Night Prayer for Wednesday.</x:v>
      </x:c>
      <x:c r="M162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63">
      <x:c r="A163" s="40" t="n">
        <x:v>46177</x:v>
      </x:c>
      <x:c r="B163" s="41" t="str">
        <x:v>Thursday</x:v>
      </x:c>
      <x:c r="C163" s="133" t="str">
        <x:v>Ordinary Time</x:v>
      </x:c>
      <x:c r="D163" s="41" t="str">
        <x:v>Weekday in Ordinary Time</x:v>
      </x:c>
      <x:c r="E163" s="41" t="str">
        <x:v>Weekday</x:v>
      </x:c>
      <x:c r="F163" s="41" t="str">
        <x:v>Vol. III — Ordinary Time</x:v>
      </x:c>
      <x:c r="G163" s="42" t="str">
        <x:v>Psalter Week I (OT Week 9)</x:v>
      </x:c>
      <x:c r="H163" s="42" t="str">
        <x:v>Proper of Seasons + Psalter Week I (OT Week 9); weekday Office of Readings.</x:v>
      </x:c>
      <x:c r="I163" s="42" t="str">
        <x:v>Proper of Seasons + Psalter Week I (OT Week 9); weekday Morning Prayer.</x:v>
      </x:c>
      <x:c r="J163" s="42" t="str">
        <x:v>Proper of Seasons + Psalter Week I (OT Week 9); choose Midmorning, Midday, or Midafternoon Prayer.</x:v>
      </x:c>
      <x:c r="K163" s="42" t="str">
        <x:v>Proper of Seasons + Psalter Week I (OT Week 9); weekday Evening Prayer.</x:v>
      </x:c>
      <x:c r="L163" s="42" t="str">
        <x:v>Night Prayer for Thursday.</x:v>
      </x:c>
      <x:c r="M16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64">
      <x:c r="A164" s="40" t="n">
        <x:v>46178</x:v>
      </x:c>
      <x:c r="B164" s="41" t="str">
        <x:v>Friday</x:v>
      </x:c>
      <x:c r="C164" s="133" t="str">
        <x:v>Ordinary Time</x:v>
      </x:c>
      <x:c r="D164" s="41" t="str">
        <x:v>Saint Boniface</x:v>
      </x:c>
      <x:c r="E164" s="41" t="str">
        <x:v>Memorial</x:v>
      </x:c>
      <x:c r="F164" s="41" t="str">
        <x:v>Vol. III — Ordinary Time</x:v>
      </x:c>
      <x:c r="G164" s="42" t="str">
        <x:v>Psalter Week I (OT Week 9)</x:v>
      </x:c>
      <x:c r="H164" s="42" t="str">
        <x:v>Psalter Week I (OT Week 9); Proper of Saints for the saint's proper reading/prayer; Common where directed.</x:v>
      </x:c>
      <x:c r="I164" s="42" t="str">
        <x:v>Psalter Week I (OT Week 9); Morning Prayer with Proper of Saints/Common elements as directed.</x:v>
      </x:c>
      <x:c r="J164" s="42" t="str">
        <x:v>Psalter Week I (OT Week 9); Daytime Prayer of the season; use the memorial's concluding prayer where directed.</x:v>
      </x:c>
      <x:c r="K164" s="42" t="str">
        <x:v>Psalter Week I (OT Week 9); Evening Prayer with Proper of Saints/Common elements as directed.</x:v>
      </x:c>
      <x:c r="L164" s="42" t="str">
        <x:v>Night Prayer for Friday.</x:v>
      </x:c>
      <x:c r="M16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165">
      <x:c r="A165" s="40" t="n">
        <x:v>46179</x:v>
      </x:c>
      <x:c r="B165" s="41" t="str">
        <x:v>Saturday</x:v>
      </x:c>
      <x:c r="C165" s="133" t="str">
        <x:v>Ordinary Time</x:v>
      </x:c>
      <x:c r="D165" s="41" t="str">
        <x:v>Weekday in Ordinary Time</x:v>
      </x:c>
      <x:c r="E165" s="41" t="str">
        <x:v>Weekday</x:v>
      </x:c>
      <x:c r="F165" s="41" t="str">
        <x:v>Vol. III — Ordinary Time</x:v>
      </x:c>
      <x:c r="G165" s="42" t="str">
        <x:v>Psalter Week I (OT Week 9)</x:v>
      </x:c>
      <x:c r="H165" s="42" t="str">
        <x:v>Proper of Seasons + Psalter Week I (OT Week 9); weekday Office of Readings. Optional memorial may be inserted from the Proper of Saints if chosen.</x:v>
      </x:c>
      <x:c r="I165" s="42" t="str">
        <x:v>Proper of Seasons + Psalter Week I (OT Week 9); weekday Morning Prayer. Optional memorial may be inserted from the Proper of Saints if chosen.</x:v>
      </x:c>
      <x:c r="J165" s="42" t="str">
        <x:v>Proper of Seasons + Psalter Week I (OT Week 9); choose Midmorning, Midday, or Midafternoon Prayer.</x:v>
      </x:c>
      <x:c r="K165" s="42" t="str">
        <x:v>First Vespers of tomorrow's solemnity: Most Holy Body and Blood of Christ (Corpus Christi) — Proper/Common as directed.</x:v>
      </x:c>
      <x:c r="L165" s="42" t="str">
        <x:v>Night Prayer I of Sunday/Solemnity after First Vespers.</x:v>
      </x:c>
      <x:c r="M165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66">
      <x:c r="A166" s="40" t="n">
        <x:v>46180</x:v>
      </x:c>
      <x:c r="B166" s="41" t="str">
        <x:v>Sunday</x:v>
      </x:c>
      <x:c r="C166" s="133" t="str">
        <x:v>Ordinary Time</x:v>
      </x:c>
      <x:c r="D166" s="131" t="str">
        <x:v>Most Holy Body and Blood of Christ (Corpus Christi)</x:v>
      </x:c>
      <x:c r="E166" s="131" t="str">
        <x:v>Solemnity</x:v>
      </x:c>
      <x:c r="F166" s="131" t="str">
        <x:v>Vol. III — Ordinary Time</x:v>
      </x:c>
      <x:c r="G166" s="132" t="str">
        <x:v>Proper / Common</x:v>
      </x:c>
      <x:c r="H166" s="42" t="str">
        <x:v>Proper of Seasons/Saints → Solemnity; use Common only where the proper directs.</x:v>
      </x:c>
      <x:c r="I166" s="42" t="str">
        <x:v>Proper of Seasons/Saints → Morning Prayer of the solemnity.</x:v>
      </x:c>
      <x:c r="J166" s="42" t="str">
        <x:v>Daytime Prayer of the solemnity; use complementary psalmody if the rubric directs.</x:v>
      </x:c>
      <x:c r="K166" s="42" t="str">
        <x:v>Evening Prayer II of the solemnity (Proper/Common as directed).</x:v>
      </x:c>
      <x:c r="L166" s="42" t="str">
        <x:v>Night Prayer II of Sunday/Solemnity after Evening Prayer II.</x:v>
      </x:c>
      <x:c r="M166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67">
      <x:c r="A167" s="40" t="n">
        <x:v>46181</x:v>
      </x:c>
      <x:c r="B167" s="41" t="str">
        <x:v>Monday</x:v>
      </x:c>
      <x:c r="C167" s="133" t="str">
        <x:v>Ordinary Time</x:v>
      </x:c>
      <x:c r="D167" s="41" t="str">
        <x:v>Weekday in Ordinary Time</x:v>
      </x:c>
      <x:c r="E167" s="41" t="str">
        <x:v>Weekday</x:v>
      </x:c>
      <x:c r="F167" s="41" t="str">
        <x:v>Vol. III — Ordinary Time</x:v>
      </x:c>
      <x:c r="G167" s="42" t="str">
        <x:v>Psalter Week II (OT Week 10)</x:v>
      </x:c>
      <x:c r="H167" s="42" t="str">
        <x:v>Proper of Seasons + Psalter Week II (OT Week 10); weekday Office of Readings.</x:v>
      </x:c>
      <x:c r="I167" s="42" t="str">
        <x:v>Proper of Seasons + Psalter Week II (OT Week 10); weekday Morning Prayer.</x:v>
      </x:c>
      <x:c r="J167" s="42" t="str">
        <x:v>Proper of Seasons + Psalter Week II (OT Week 10); choose Midmorning, Midday, or Midafternoon Prayer.</x:v>
      </x:c>
      <x:c r="K167" s="42" t="str">
        <x:v>Proper of Seasons + Psalter Week II (OT Week 10); weekday Evening Prayer.</x:v>
      </x:c>
      <x:c r="L167" s="42" t="str">
        <x:v>Night Prayer for Monday.</x:v>
      </x:c>
      <x:c r="M16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68">
      <x:c r="A168" s="40" t="n">
        <x:v>46182</x:v>
      </x:c>
      <x:c r="B168" s="41" t="str">
        <x:v>Tuesday</x:v>
      </x:c>
      <x:c r="C168" s="133" t="str">
        <x:v>Ordinary Time</x:v>
      </x:c>
      <x:c r="D168" s="41" t="str">
        <x:v>Weekday in Ordinary Time</x:v>
      </x:c>
      <x:c r="E168" s="41" t="str">
        <x:v>Weekday</x:v>
      </x:c>
      <x:c r="F168" s="41" t="str">
        <x:v>Vol. III — Ordinary Time</x:v>
      </x:c>
      <x:c r="G168" s="42" t="str">
        <x:v>Psalter Week II (OT Week 10)</x:v>
      </x:c>
      <x:c r="H168" s="42" t="str">
        <x:v>Proper of Seasons + Psalter Week II (OT Week 10); weekday Office of Readings. Optional memorial may be inserted from the Proper of Saints if chosen.</x:v>
      </x:c>
      <x:c r="I168" s="42" t="str">
        <x:v>Proper of Seasons + Psalter Week II (OT Week 10); weekday Morning Prayer. Optional memorial may be inserted from the Proper of Saints if chosen.</x:v>
      </x:c>
      <x:c r="J168" s="42" t="str">
        <x:v>Proper of Seasons + Psalter Week II (OT Week 10); choose Midmorning, Midday, or Midafternoon Prayer.</x:v>
      </x:c>
      <x:c r="K168" s="42" t="str">
        <x:v>Proper of Seasons + Psalter Week II (OT Week 10); weekday Evening Prayer. Optional memorial may be inserted from the Proper of Saints if chosen.</x:v>
      </x:c>
      <x:c r="L168" s="42" t="str">
        <x:v>Night Prayer for Tuesday.</x:v>
      </x:c>
      <x:c r="M16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69">
      <x:c r="A169" s="40" t="n">
        <x:v>46183</x:v>
      </x:c>
      <x:c r="B169" s="41" t="str">
        <x:v>Wednesday</x:v>
      </x:c>
      <x:c r="C169" s="133" t="str">
        <x:v>Ordinary Time</x:v>
      </x:c>
      <x:c r="D169" s="41" t="str">
        <x:v>Weekday in Ordinary Time</x:v>
      </x:c>
      <x:c r="E169" s="41" t="str">
        <x:v>Weekday</x:v>
      </x:c>
      <x:c r="F169" s="41" t="str">
        <x:v>Vol. III — Ordinary Time</x:v>
      </x:c>
      <x:c r="G169" s="42" t="str">
        <x:v>Psalter Week II (OT Week 10)</x:v>
      </x:c>
      <x:c r="H169" s="42" t="str">
        <x:v>Proper of Seasons + Psalter Week II (OT Week 10); weekday Office of Readings.</x:v>
      </x:c>
      <x:c r="I169" s="42" t="str">
        <x:v>Proper of Seasons + Psalter Week II (OT Week 10); weekday Morning Prayer.</x:v>
      </x:c>
      <x:c r="J169" s="42" t="str">
        <x:v>Proper of Seasons + Psalter Week II (OT Week 10); choose Midmorning, Midday, or Midafternoon Prayer.</x:v>
      </x:c>
      <x:c r="K169" s="42" t="str">
        <x:v>Proper of Seasons + Psalter Week II (OT Week 10); weekday Evening Prayer.</x:v>
      </x:c>
      <x:c r="L169" s="42" t="str">
        <x:v>Night Prayer for Wednesday.</x:v>
      </x:c>
      <x:c r="M16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70">
      <x:c r="A170" s="40" t="n">
        <x:v>46184</x:v>
      </x:c>
      <x:c r="B170" s="41" t="str">
        <x:v>Thursday</x:v>
      </x:c>
      <x:c r="C170" s="133" t="str">
        <x:v>Ordinary Time</x:v>
      </x:c>
      <x:c r="D170" s="41" t="str">
        <x:v>Saint Barnabas, Apostle</x:v>
      </x:c>
      <x:c r="E170" s="41" t="str">
        <x:v>Memorial</x:v>
      </x:c>
      <x:c r="F170" s="41" t="str">
        <x:v>Vol. III — Ordinary Time</x:v>
      </x:c>
      <x:c r="G170" s="42" t="str">
        <x:v>Psalter Week II (OT Week 10)</x:v>
      </x:c>
      <x:c r="H170" s="42" t="str">
        <x:v>Psalter Week II (OT Week 10); Proper of Saints for the saint's proper reading/prayer; Common where directed.</x:v>
      </x:c>
      <x:c r="I170" s="42" t="str">
        <x:v>Psalter Week II (OT Week 10); Morning Prayer with Proper of Saints/Common elements as directed.</x:v>
      </x:c>
      <x:c r="J170" s="42" t="str">
        <x:v>Psalter Week II (OT Week 10); Daytime Prayer of the season; use the memorial's concluding prayer where directed.</x:v>
      </x:c>
      <x:c r="K170" s="42" t="str">
        <x:v>First Vespers of tomorrow's solemnity: Most Sacred Heart of Jesus — Proper/Common as directed.</x:v>
      </x:c>
      <x:c r="L170" s="42" t="str">
        <x:v>Night Prayer I of Sunday/Solemnity after First Vespers.</x:v>
      </x:c>
      <x:c r="M170" s="42" t="str">
        <x:v>On a memorial, weekday psalmody ordinarily remains unless proper psalmody is provided; the Proper of Saints directs what is replaced. This evening is governed by tomorrow's solemnity.
https://www.usccb.org/resources/2026cal.pdf
https://www.usccb.org/prayer-and-worship/liturgy-of-the-hours</x:v>
      </x:c>
    </x:row>
    <x:row r="171">
      <x:c r="A171" s="40" t="n">
        <x:v>46185</x:v>
      </x:c>
      <x:c r="B171" s="41" t="str">
        <x:v>Friday</x:v>
      </x:c>
      <x:c r="C171" s="133" t="str">
        <x:v>Ordinary Time</x:v>
      </x:c>
      <x:c r="D171" s="131" t="str">
        <x:v>Most Sacred Heart of Jesus</x:v>
      </x:c>
      <x:c r="E171" s="131" t="str">
        <x:v>Solemnity</x:v>
      </x:c>
      <x:c r="F171" s="131" t="str">
        <x:v>Vol. III — Ordinary Time</x:v>
      </x:c>
      <x:c r="G171" s="132" t="str">
        <x:v>Proper / Common</x:v>
      </x:c>
      <x:c r="H171" s="42" t="str">
        <x:v>Proper of Seasons/Saints → Solemnity; use Common only where the proper directs.</x:v>
      </x:c>
      <x:c r="I171" s="42" t="str">
        <x:v>Proper of Seasons/Saints → Morning Prayer of the solemnity.</x:v>
      </x:c>
      <x:c r="J171" s="42" t="str">
        <x:v>Daytime Prayer of the solemnity; use complementary psalmody if the rubric directs.</x:v>
      </x:c>
      <x:c r="K171" s="42" t="str">
        <x:v>Evening Prayer II of the solemnity (Proper/Common as directed).</x:v>
      </x:c>
      <x:c r="L171" s="42" t="str">
        <x:v>Night Prayer II of Sunday/Solemnity after Evening Prayer II.</x:v>
      </x:c>
      <x:c r="M171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72">
      <x:c r="A172" s="40" t="n">
        <x:v>46186</x:v>
      </x:c>
      <x:c r="B172" s="41" t="str">
        <x:v>Saturday</x:v>
      </x:c>
      <x:c r="C172" s="133" t="str">
        <x:v>Ordinary Time</x:v>
      </x:c>
      <x:c r="D172" s="41" t="str">
        <x:v>Weekday in Ordinary Time</x:v>
      </x:c>
      <x:c r="E172" s="41" t="str">
        <x:v>Weekday</x:v>
      </x:c>
      <x:c r="F172" s="41" t="str">
        <x:v>Vol. III — Ordinary Time</x:v>
      </x:c>
      <x:c r="G172" s="42" t="str">
        <x:v>Psalter Week II (OT Week 10)</x:v>
      </x:c>
      <x:c r="H172" s="42" t="str">
        <x:v>Proper of Seasons + Psalter Week II (OT Week 10); weekday Office of Readings. Optional memorial may be inserted from the Proper of Saints if chosen.</x:v>
      </x:c>
      <x:c r="I172" s="42" t="str">
        <x:v>Proper of Seasons + Psalter Week II (OT Week 10); weekday Morning Prayer. Optional memorial may be inserted from the Proper of Saints if chosen.</x:v>
      </x:c>
      <x:c r="J172" s="42" t="str">
        <x:v>Proper of Seasons + Psalter Week II (OT Week 10); choose Midmorning, Midday, or Midafternoon Prayer.</x:v>
      </x:c>
      <x:c r="K172" s="42" t="str">
        <x:v>First Vespers of Sunday: Eleventh Sunday in Ordinary Time — Proper of Seasons + tomorrow's Psalter week.</x:v>
      </x:c>
      <x:c r="L172" s="42" t="str">
        <x:v>Night Prayer I of Sunday after First Vespers.</x:v>
      </x:c>
      <x:c r="M172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73">
      <x:c r="A173" s="40" t="n">
        <x:v>46187</x:v>
      </x:c>
      <x:c r="B173" s="41" t="str">
        <x:v>Sunday</x:v>
      </x:c>
      <x:c r="C173" s="133" t="str">
        <x:v>Ordinary Time</x:v>
      </x:c>
      <x:c r="D173" s="41" t="str">
        <x:v>Eleventh Sunday in Ordinary Time</x:v>
      </x:c>
      <x:c r="E173" s="41" t="str">
        <x:v>Sunday</x:v>
      </x:c>
      <x:c r="F173" s="41" t="str">
        <x:v>Vol. III — Ordinary Time</x:v>
      </x:c>
      <x:c r="G173" s="42" t="str">
        <x:v>Psalter Week III (OT Week 11)</x:v>
      </x:c>
      <x:c r="H173" s="42" t="str">
        <x:v>Proper of Seasons + Psalter Week III (OT Week 11); Office of Readings for Sunday.</x:v>
      </x:c>
      <x:c r="I173" s="42" t="str">
        <x:v>Proper of Seasons + Psalter Week III (OT Week 11); Morning Prayer for Sunday.</x:v>
      </x:c>
      <x:c r="J173" s="42" t="str">
        <x:v>Psalter Week III (OT Week 11); Sunday Daytime Prayer + seasonal proper.</x:v>
      </x:c>
      <x:c r="K173" s="42" t="str">
        <x:v>Evening Prayer II of Sunday — Proper of Seasons + Psalter Week III (OT Week 11).</x:v>
      </x:c>
      <x:c r="L173" s="42" t="str">
        <x:v>Night Prayer II of Sunday.</x:v>
      </x:c>
      <x:c r="M173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74">
      <x:c r="A174" s="40" t="n">
        <x:v>46188</x:v>
      </x:c>
      <x:c r="B174" s="41" t="str">
        <x:v>Monday</x:v>
      </x:c>
      <x:c r="C174" s="133" t="str">
        <x:v>Ordinary Time</x:v>
      </x:c>
      <x:c r="D174" s="41" t="str">
        <x:v>Weekday in Ordinary Time</x:v>
      </x:c>
      <x:c r="E174" s="41" t="str">
        <x:v>Weekday</x:v>
      </x:c>
      <x:c r="F174" s="41" t="str">
        <x:v>Vol. III — Ordinary Time</x:v>
      </x:c>
      <x:c r="G174" s="42" t="str">
        <x:v>Psalter Week III (OT Week 11)</x:v>
      </x:c>
      <x:c r="H174" s="42" t="str">
        <x:v>Proper of Seasons + Psalter Week III (OT Week 11); weekday Office of Readings.</x:v>
      </x:c>
      <x:c r="I174" s="42" t="str">
        <x:v>Proper of Seasons + Psalter Week III (OT Week 11); weekday Morning Prayer.</x:v>
      </x:c>
      <x:c r="J174" s="42" t="str">
        <x:v>Proper of Seasons + Psalter Week III (OT Week 11); choose Midmorning, Midday, or Midafternoon Prayer.</x:v>
      </x:c>
      <x:c r="K174" s="42" t="str">
        <x:v>Proper of Seasons + Psalter Week III (OT Week 11); weekday Evening Prayer.</x:v>
      </x:c>
      <x:c r="L174" s="42" t="str">
        <x:v>Night Prayer for Monday.</x:v>
      </x:c>
      <x:c r="M17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75">
      <x:c r="A175" s="40" t="n">
        <x:v>46189</x:v>
      </x:c>
      <x:c r="B175" s="41" t="str">
        <x:v>Tuesday</x:v>
      </x:c>
      <x:c r="C175" s="133" t="str">
        <x:v>Ordinary Time</x:v>
      </x:c>
      <x:c r="D175" s="41" t="str">
        <x:v>Weekday in Ordinary Time</x:v>
      </x:c>
      <x:c r="E175" s="41" t="str">
        <x:v>Weekday</x:v>
      </x:c>
      <x:c r="F175" s="41" t="str">
        <x:v>Vol. III — Ordinary Time</x:v>
      </x:c>
      <x:c r="G175" s="42" t="str">
        <x:v>Psalter Week III (OT Week 11)</x:v>
      </x:c>
      <x:c r="H175" s="42" t="str">
        <x:v>Proper of Seasons + Psalter Week III (OT Week 11); weekday Office of Readings.</x:v>
      </x:c>
      <x:c r="I175" s="42" t="str">
        <x:v>Proper of Seasons + Psalter Week III (OT Week 11); weekday Morning Prayer.</x:v>
      </x:c>
      <x:c r="J175" s="42" t="str">
        <x:v>Proper of Seasons + Psalter Week III (OT Week 11); choose Midmorning, Midday, or Midafternoon Prayer.</x:v>
      </x:c>
      <x:c r="K175" s="42" t="str">
        <x:v>Proper of Seasons + Psalter Week III (OT Week 11); weekday Evening Prayer.</x:v>
      </x:c>
      <x:c r="L175" s="42" t="str">
        <x:v>Night Prayer for Tuesday.</x:v>
      </x:c>
      <x:c r="M17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76">
      <x:c r="A176" s="40" t="n">
        <x:v>46190</x:v>
      </x:c>
      <x:c r="B176" s="41" t="str">
        <x:v>Wednesday</x:v>
      </x:c>
      <x:c r="C176" s="133" t="str">
        <x:v>Ordinary Time</x:v>
      </x:c>
      <x:c r="D176" s="41" t="str">
        <x:v>Weekday in Ordinary Time</x:v>
      </x:c>
      <x:c r="E176" s="41" t="str">
        <x:v>Weekday</x:v>
      </x:c>
      <x:c r="F176" s="41" t="str">
        <x:v>Vol. III — Ordinary Time</x:v>
      </x:c>
      <x:c r="G176" s="42" t="str">
        <x:v>Psalter Week III (OT Week 11)</x:v>
      </x:c>
      <x:c r="H176" s="42" t="str">
        <x:v>Proper of Seasons + Psalter Week III (OT Week 11); weekday Office of Readings.</x:v>
      </x:c>
      <x:c r="I176" s="42" t="str">
        <x:v>Proper of Seasons + Psalter Week III (OT Week 11); weekday Morning Prayer.</x:v>
      </x:c>
      <x:c r="J176" s="42" t="str">
        <x:v>Proper of Seasons + Psalter Week III (OT Week 11); choose Midmorning, Midday, or Midafternoon Prayer.</x:v>
      </x:c>
      <x:c r="K176" s="42" t="str">
        <x:v>Proper of Seasons + Psalter Week III (OT Week 11); weekday Evening Prayer.</x:v>
      </x:c>
      <x:c r="L176" s="42" t="str">
        <x:v>Night Prayer for Wednesday.</x:v>
      </x:c>
      <x:c r="M17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77">
      <x:c r="A177" s="40" t="n">
        <x:v>46191</x:v>
      </x:c>
      <x:c r="B177" s="41" t="str">
        <x:v>Thursday</x:v>
      </x:c>
      <x:c r="C177" s="133" t="str">
        <x:v>Ordinary Time</x:v>
      </x:c>
      <x:c r="D177" s="41" t="str">
        <x:v>Weekday in Ordinary Time</x:v>
      </x:c>
      <x:c r="E177" s="41" t="str">
        <x:v>Weekday</x:v>
      </x:c>
      <x:c r="F177" s="41" t="str">
        <x:v>Vol. III — Ordinary Time</x:v>
      </x:c>
      <x:c r="G177" s="42" t="str">
        <x:v>Psalter Week III (OT Week 11)</x:v>
      </x:c>
      <x:c r="H177" s="42" t="str">
        <x:v>Proper of Seasons + Psalter Week III (OT Week 11); weekday Office of Readings.</x:v>
      </x:c>
      <x:c r="I177" s="42" t="str">
        <x:v>Proper of Seasons + Psalter Week III (OT Week 11); weekday Morning Prayer.</x:v>
      </x:c>
      <x:c r="J177" s="42" t="str">
        <x:v>Proper of Seasons + Psalter Week III (OT Week 11); choose Midmorning, Midday, or Midafternoon Prayer.</x:v>
      </x:c>
      <x:c r="K177" s="42" t="str">
        <x:v>Proper of Seasons + Psalter Week III (OT Week 11); weekday Evening Prayer.</x:v>
      </x:c>
      <x:c r="L177" s="42" t="str">
        <x:v>Night Prayer for Thursday.</x:v>
      </x:c>
      <x:c r="M17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78">
      <x:c r="A178" s="40" t="n">
        <x:v>46192</x:v>
      </x:c>
      <x:c r="B178" s="41" t="str">
        <x:v>Friday</x:v>
      </x:c>
      <x:c r="C178" s="133" t="str">
        <x:v>Ordinary Time</x:v>
      </x:c>
      <x:c r="D178" s="41" t="str">
        <x:v>Weekday in Ordinary Time</x:v>
      </x:c>
      <x:c r="E178" s="41" t="str">
        <x:v>Weekday</x:v>
      </x:c>
      <x:c r="F178" s="41" t="str">
        <x:v>Vol. III — Ordinary Time</x:v>
      </x:c>
      <x:c r="G178" s="42" t="str">
        <x:v>Psalter Week III (OT Week 11)</x:v>
      </x:c>
      <x:c r="H178" s="42" t="str">
        <x:v>Proper of Seasons + Psalter Week III (OT Week 11); weekday Office of Readings. Optional memorial may be inserted from the Proper of Saints if chosen.</x:v>
      </x:c>
      <x:c r="I178" s="42" t="str">
        <x:v>Proper of Seasons + Psalter Week III (OT Week 11); weekday Morning Prayer. Optional memorial may be inserted from the Proper of Saints if chosen.</x:v>
      </x:c>
      <x:c r="J178" s="42" t="str">
        <x:v>Proper of Seasons + Psalter Week III (OT Week 11); choose Midmorning, Midday, or Midafternoon Prayer.</x:v>
      </x:c>
      <x:c r="K178" s="42" t="str">
        <x:v>Proper of Seasons + Psalter Week III (OT Week 11); weekday Evening Prayer. Optional memorial may be inserted from the Proper of Saints if chosen.</x:v>
      </x:c>
      <x:c r="L178" s="42" t="str">
        <x:v>Night Prayer for Friday.</x:v>
      </x:c>
      <x:c r="M17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79">
      <x:c r="A179" s="40" t="n">
        <x:v>46193</x:v>
      </x:c>
      <x:c r="B179" s="41" t="str">
        <x:v>Saturday</x:v>
      </x:c>
      <x:c r="C179" s="133" t="str">
        <x:v>Ordinary Time</x:v>
      </x:c>
      <x:c r="D179" s="41" t="str">
        <x:v>Weekday in Ordinary Time</x:v>
      </x:c>
      <x:c r="E179" s="41" t="str">
        <x:v>Weekday</x:v>
      </x:c>
      <x:c r="F179" s="41" t="str">
        <x:v>Vol. III — Ordinary Time</x:v>
      </x:c>
      <x:c r="G179" s="42" t="str">
        <x:v>Psalter Week III (OT Week 11)</x:v>
      </x:c>
      <x:c r="H179" s="42" t="str">
        <x:v>Proper of Seasons + Psalter Week III (OT Week 11); weekday Office of Readings.</x:v>
      </x:c>
      <x:c r="I179" s="42" t="str">
        <x:v>Proper of Seasons + Psalter Week III (OT Week 11); weekday Morning Prayer.</x:v>
      </x:c>
      <x:c r="J179" s="42" t="str">
        <x:v>Proper of Seasons + Psalter Week III (OT Week 11); choose Midmorning, Midday, or Midafternoon Prayer.</x:v>
      </x:c>
      <x:c r="K179" s="42" t="str">
        <x:v>First Vespers of Sunday: Twelfth Sunday in Ordinary Time — Proper of Seasons + tomorrow's Psalter week.</x:v>
      </x:c>
      <x:c r="L179" s="42" t="str">
        <x:v>Night Prayer I of Sunday after First Vespers.</x:v>
      </x:c>
      <x:c r="M179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80">
      <x:c r="A180" s="40" t="n">
        <x:v>46194</x:v>
      </x:c>
      <x:c r="B180" s="41" t="str">
        <x:v>Sunday</x:v>
      </x:c>
      <x:c r="C180" s="133" t="str">
        <x:v>Ordinary Time</x:v>
      </x:c>
      <x:c r="D180" s="41" t="str">
        <x:v>Twelfth Sunday in Ordinary Time</x:v>
      </x:c>
      <x:c r="E180" s="41" t="str">
        <x:v>Sunday</x:v>
      </x:c>
      <x:c r="F180" s="41" t="str">
        <x:v>Vol. III — Ordinary Time</x:v>
      </x:c>
      <x:c r="G180" s="42" t="str">
        <x:v>Psalter Week IV (OT Week 12)</x:v>
      </x:c>
      <x:c r="H180" s="42" t="str">
        <x:v>Proper of Seasons + Psalter Week IV (OT Week 12); Office of Readings for Sunday.</x:v>
      </x:c>
      <x:c r="I180" s="42" t="str">
        <x:v>Proper of Seasons + Psalter Week IV (OT Week 12); Morning Prayer for Sunday.</x:v>
      </x:c>
      <x:c r="J180" s="42" t="str">
        <x:v>Psalter Week IV (OT Week 12); Sunday Daytime Prayer + seasonal proper.</x:v>
      </x:c>
      <x:c r="K180" s="42" t="str">
        <x:v>Evening Prayer II of Sunday — Proper of Seasons + Psalter Week IV (OT Week 12).</x:v>
      </x:c>
      <x:c r="L180" s="42" t="str">
        <x:v>Night Prayer II of Sunday.</x:v>
      </x:c>
      <x:c r="M180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81">
      <x:c r="A181" s="40" t="n">
        <x:v>46195</x:v>
      </x:c>
      <x:c r="B181" s="41" t="str">
        <x:v>Monday</x:v>
      </x:c>
      <x:c r="C181" s="133" t="str">
        <x:v>Ordinary Time</x:v>
      </x:c>
      <x:c r="D181" s="41" t="str">
        <x:v>Weekday in Ordinary Time</x:v>
      </x:c>
      <x:c r="E181" s="41" t="str">
        <x:v>Weekday</x:v>
      </x:c>
      <x:c r="F181" s="41" t="str">
        <x:v>Vol. III — Ordinary Time</x:v>
      </x:c>
      <x:c r="G181" s="42" t="str">
        <x:v>Psalter Week IV (OT Week 12)</x:v>
      </x:c>
      <x:c r="H181" s="42" t="str">
        <x:v>Proper of Seasons + Psalter Week IV (OT Week 12); weekday Office of Readings. Optional memorial may be inserted from the Proper of Saints if chosen.</x:v>
      </x:c>
      <x:c r="I181" s="42" t="str">
        <x:v>Proper of Seasons + Psalter Week IV (OT Week 12); weekday Morning Prayer. Optional memorial may be inserted from the Proper of Saints if chosen.</x:v>
      </x:c>
      <x:c r="J181" s="42" t="str">
        <x:v>Proper of Seasons + Psalter Week IV (OT Week 12); choose Midmorning, Midday, or Midafternoon Prayer.</x:v>
      </x:c>
      <x:c r="K181" s="42" t="str">
        <x:v>Proper of Seasons + Psalter Week IV (OT Week 12); weekday Evening Prayer. Optional memorial may be inserted from the Proper of Saints if chosen.</x:v>
      </x:c>
      <x:c r="L181" s="42" t="str">
        <x:v>Night Prayer for Monday.</x:v>
      </x:c>
      <x:c r="M18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82">
      <x:c r="A182" s="40" t="n">
        <x:v>46196</x:v>
      </x:c>
      <x:c r="B182" s="41" t="str">
        <x:v>Tuesday</x:v>
      </x:c>
      <x:c r="C182" s="133" t="str">
        <x:v>Ordinary Time</x:v>
      </x:c>
      <x:c r="D182" s="41" t="str">
        <x:v>Weekday in Ordinary Time</x:v>
      </x:c>
      <x:c r="E182" s="41" t="str">
        <x:v>Weekday</x:v>
      </x:c>
      <x:c r="F182" s="41" t="str">
        <x:v>Vol. III — Ordinary Time</x:v>
      </x:c>
      <x:c r="G182" s="42" t="str">
        <x:v>Psalter Week IV (OT Week 12)</x:v>
      </x:c>
      <x:c r="H182" s="42" t="str">
        <x:v>Proper of Seasons + Psalter Week IV (OT Week 12); weekday Office of Readings.</x:v>
      </x:c>
      <x:c r="I182" s="42" t="str">
        <x:v>Proper of Seasons + Psalter Week IV (OT Week 12); weekday Morning Prayer.</x:v>
      </x:c>
      <x:c r="J182" s="42" t="str">
        <x:v>Proper of Seasons + Psalter Week IV (OT Week 12); choose Midmorning, Midday, or Midafternoon Prayer.</x:v>
      </x:c>
      <x:c r="K182" s="42" t="str">
        <x:v>First Vespers of tomorrow's solemnity: Nativity of Saint John the Baptist — Proper/Common as directed.</x:v>
      </x:c>
      <x:c r="L182" s="42" t="str">
        <x:v>Night Prayer I of Sunday/Solemnity after First Vespers.</x:v>
      </x:c>
      <x:c r="M182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</x:v>
      </x:c>
    </x:row>
    <x:row r="183">
      <x:c r="A183" s="40" t="n">
        <x:v>46197</x:v>
      </x:c>
      <x:c r="B183" s="41" t="str">
        <x:v>Wednesday</x:v>
      </x:c>
      <x:c r="C183" s="133" t="str">
        <x:v>Ordinary Time</x:v>
      </x:c>
      <x:c r="D183" s="131" t="str">
        <x:v>Nativity of Saint John the Baptist</x:v>
      </x:c>
      <x:c r="E183" s="131" t="str">
        <x:v>Solemnity</x:v>
      </x:c>
      <x:c r="F183" s="131" t="str">
        <x:v>Vol. III — Ordinary Time</x:v>
      </x:c>
      <x:c r="G183" s="132" t="str">
        <x:v>Proper / Common</x:v>
      </x:c>
      <x:c r="H183" s="42" t="str">
        <x:v>Proper of Seasons/Saints → Solemnity; use Common only where the proper directs.</x:v>
      </x:c>
      <x:c r="I183" s="42" t="str">
        <x:v>Proper of Seasons/Saints → Morning Prayer of the solemnity.</x:v>
      </x:c>
      <x:c r="J183" s="42" t="str">
        <x:v>Daytime Prayer of the solemnity; use complementary psalmody if the rubric directs.</x:v>
      </x:c>
      <x:c r="K183" s="42" t="str">
        <x:v>Evening Prayer II of the solemnity (Proper/Common as directed).</x:v>
      </x:c>
      <x:c r="L183" s="42" t="str">
        <x:v>Night Prayer II of Sunday/Solemnity after Evening Prayer II.</x:v>
      </x:c>
      <x:c r="M183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84">
      <x:c r="A184" s="40" t="n">
        <x:v>46198</x:v>
      </x:c>
      <x:c r="B184" s="41" t="str">
        <x:v>Thursday</x:v>
      </x:c>
      <x:c r="C184" s="133" t="str">
        <x:v>Ordinary Time</x:v>
      </x:c>
      <x:c r="D184" s="41" t="str">
        <x:v>Weekday in Ordinary Time</x:v>
      </x:c>
      <x:c r="E184" s="41" t="str">
        <x:v>Weekday</x:v>
      </x:c>
      <x:c r="F184" s="41" t="str">
        <x:v>Vol. III — Ordinary Time</x:v>
      </x:c>
      <x:c r="G184" s="42" t="str">
        <x:v>Psalter Week IV (OT Week 12)</x:v>
      </x:c>
      <x:c r="H184" s="42" t="str">
        <x:v>Proper of Seasons + Psalter Week IV (OT Week 12); weekday Office of Readings.</x:v>
      </x:c>
      <x:c r="I184" s="42" t="str">
        <x:v>Proper of Seasons + Psalter Week IV (OT Week 12); weekday Morning Prayer.</x:v>
      </x:c>
      <x:c r="J184" s="42" t="str">
        <x:v>Proper of Seasons + Psalter Week IV (OT Week 12); choose Midmorning, Midday, or Midafternoon Prayer.</x:v>
      </x:c>
      <x:c r="K184" s="42" t="str">
        <x:v>Proper of Seasons + Psalter Week IV (OT Week 12); weekday Evening Prayer.</x:v>
      </x:c>
      <x:c r="L184" s="42" t="str">
        <x:v>Night Prayer for Thursday.</x:v>
      </x:c>
      <x:c r="M18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85">
      <x:c r="A185" s="40" t="n">
        <x:v>46199</x:v>
      </x:c>
      <x:c r="B185" s="41" t="str">
        <x:v>Friday</x:v>
      </x:c>
      <x:c r="C185" s="133" t="str">
        <x:v>Ordinary Time</x:v>
      </x:c>
      <x:c r="D185" s="41" t="str">
        <x:v>Weekday in Ordinary Time</x:v>
      </x:c>
      <x:c r="E185" s="41" t="str">
        <x:v>Weekday</x:v>
      </x:c>
      <x:c r="F185" s="41" t="str">
        <x:v>Vol. III — Ordinary Time</x:v>
      </x:c>
      <x:c r="G185" s="42" t="str">
        <x:v>Psalter Week IV (OT Week 12)</x:v>
      </x:c>
      <x:c r="H185" s="42" t="str">
        <x:v>Proper of Seasons + Psalter Week IV (OT Week 12); weekday Office of Readings.</x:v>
      </x:c>
      <x:c r="I185" s="42" t="str">
        <x:v>Proper of Seasons + Psalter Week IV (OT Week 12); weekday Morning Prayer.</x:v>
      </x:c>
      <x:c r="J185" s="42" t="str">
        <x:v>Proper of Seasons + Psalter Week IV (OT Week 12); choose Midmorning, Midday, or Midafternoon Prayer.</x:v>
      </x:c>
      <x:c r="K185" s="42" t="str">
        <x:v>Proper of Seasons + Psalter Week IV (OT Week 12); weekday Evening Prayer.</x:v>
      </x:c>
      <x:c r="L185" s="42" t="str">
        <x:v>Night Prayer for Friday.</x:v>
      </x:c>
      <x:c r="M18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86">
      <x:c r="A186" s="40" t="n">
        <x:v>46200</x:v>
      </x:c>
      <x:c r="B186" s="41" t="str">
        <x:v>Saturday</x:v>
      </x:c>
      <x:c r="C186" s="133" t="str">
        <x:v>Ordinary Time</x:v>
      </x:c>
      <x:c r="D186" s="41" t="str">
        <x:v>Weekday in Ordinary Time</x:v>
      </x:c>
      <x:c r="E186" s="41" t="str">
        <x:v>Weekday</x:v>
      </x:c>
      <x:c r="F186" s="41" t="str">
        <x:v>Vol. III — Ordinary Time</x:v>
      </x:c>
      <x:c r="G186" s="42" t="str">
        <x:v>Psalter Week IV (OT Week 12)</x:v>
      </x:c>
      <x:c r="H186" s="42" t="str">
        <x:v>Proper of Seasons + Psalter Week IV (OT Week 12); weekday Office of Readings. Optional memorial may be inserted from the Proper of Saints if chosen.</x:v>
      </x:c>
      <x:c r="I186" s="42" t="str">
        <x:v>Proper of Seasons + Psalter Week IV (OT Week 12); weekday Morning Prayer. Optional memorial may be inserted from the Proper of Saints if chosen.</x:v>
      </x:c>
      <x:c r="J186" s="42" t="str">
        <x:v>Proper of Seasons + Psalter Week IV (OT Week 12); choose Midmorning, Midday, or Midafternoon Prayer.</x:v>
      </x:c>
      <x:c r="K186" s="42" t="str">
        <x:v>First Vespers of Sunday: Thirteenth Sunday in Ordinary Time — Proper of Seasons + tomorrow's Psalter week.</x:v>
      </x:c>
      <x:c r="L186" s="42" t="str">
        <x:v>Night Prayer I of Sunday after First Vespers.</x:v>
      </x:c>
      <x:c r="M186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87">
      <x:c r="A187" s="40" t="n">
        <x:v>46201</x:v>
      </x:c>
      <x:c r="B187" s="41" t="str">
        <x:v>Sunday</x:v>
      </x:c>
      <x:c r="C187" s="133" t="str">
        <x:v>Ordinary Time</x:v>
      </x:c>
      <x:c r="D187" s="41" t="str">
        <x:v>Thirteenth Sunday in Ordinary Time</x:v>
      </x:c>
      <x:c r="E187" s="41" t="str">
        <x:v>Sunday</x:v>
      </x:c>
      <x:c r="F187" s="41" t="str">
        <x:v>Vol. III — Ordinary Time</x:v>
      </x:c>
      <x:c r="G187" s="42" t="str">
        <x:v>Psalter Week I (OT Week 13)</x:v>
      </x:c>
      <x:c r="H187" s="42" t="str">
        <x:v>Proper of Seasons + Psalter Week I (OT Week 13); Office of Readings for Sunday.</x:v>
      </x:c>
      <x:c r="I187" s="42" t="str">
        <x:v>Proper of Seasons + Psalter Week I (OT Week 13); Morning Prayer for Sunday.</x:v>
      </x:c>
      <x:c r="J187" s="42" t="str">
        <x:v>Psalter Week I (OT Week 13); Sunday Daytime Prayer + seasonal proper.</x:v>
      </x:c>
      <x:c r="K187" s="42" t="str">
        <x:v>First Vespers of tomorrow's solemnity: Saints Peter and Paul, Apostles — Proper/Common as directed.</x:v>
      </x:c>
      <x:c r="L187" s="42" t="str">
        <x:v>Night Prayer I of Sunday/Solemnity after First Vespers.</x:v>
      </x:c>
      <x:c r="M187" s="42" t="str">
        <x:v>Sunday has First Vespers on Saturday evening and Second Vespers on Sunday evening.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88">
      <x:c r="A188" s="40" t="n">
        <x:v>46202</x:v>
      </x:c>
      <x:c r="B188" s="41" t="str">
        <x:v>Monday</x:v>
      </x:c>
      <x:c r="C188" s="133" t="str">
        <x:v>Ordinary Time</x:v>
      </x:c>
      <x:c r="D188" s="131" t="str">
        <x:v>Saints Peter and Paul, Apostles</x:v>
      </x:c>
      <x:c r="E188" s="131" t="str">
        <x:v>Solemnity</x:v>
      </x:c>
      <x:c r="F188" s="131" t="str">
        <x:v>Vol. III — Ordinary Time</x:v>
      </x:c>
      <x:c r="G188" s="132" t="str">
        <x:v>Proper / Common</x:v>
      </x:c>
      <x:c r="H188" s="42" t="str">
        <x:v>Proper of Seasons/Saints → Solemnity; use Common only where the proper directs.</x:v>
      </x:c>
      <x:c r="I188" s="42" t="str">
        <x:v>Proper of Seasons/Saints → Morning Prayer of the solemnity.</x:v>
      </x:c>
      <x:c r="J188" s="42" t="str">
        <x:v>Daytime Prayer of the solemnity; use complementary psalmody if the rubric directs.</x:v>
      </x:c>
      <x:c r="K188" s="42" t="str">
        <x:v>Evening Prayer II of the solemnity (Proper/Common as directed).</x:v>
      </x:c>
      <x:c r="L188" s="42" t="str">
        <x:v>Night Prayer II of Sunday/Solemnity after Evening Prayer II.</x:v>
      </x:c>
      <x:c r="M188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89">
      <x:c r="A189" s="40" t="n">
        <x:v>46203</x:v>
      </x:c>
      <x:c r="B189" s="41" t="str">
        <x:v>Tuesday</x:v>
      </x:c>
      <x:c r="C189" s="133" t="str">
        <x:v>Ordinary Time</x:v>
      </x:c>
      <x:c r="D189" s="41" t="str">
        <x:v>Weekday in Ordinary Time</x:v>
      </x:c>
      <x:c r="E189" s="41" t="str">
        <x:v>Weekday</x:v>
      </x:c>
      <x:c r="F189" s="41" t="str">
        <x:v>Vol. III — Ordinary Time</x:v>
      </x:c>
      <x:c r="G189" s="42" t="str">
        <x:v>Psalter Week I (OT Week 13)</x:v>
      </x:c>
      <x:c r="H189" s="42" t="str">
        <x:v>Proper of Seasons + Psalter Week I (OT Week 13); weekday Office of Readings. Optional memorial may be inserted from the Proper of Saints if chosen.</x:v>
      </x:c>
      <x:c r="I189" s="42" t="str">
        <x:v>Proper of Seasons + Psalter Week I (OT Week 13); weekday Morning Prayer. Optional memorial may be inserted from the Proper of Saints if chosen.</x:v>
      </x:c>
      <x:c r="J189" s="42" t="str">
        <x:v>Proper of Seasons + Psalter Week I (OT Week 13); choose Midmorning, Midday, or Midafternoon Prayer.</x:v>
      </x:c>
      <x:c r="K189" s="42" t="str">
        <x:v>Proper of Seasons + Psalter Week I (OT Week 13); weekday Evening Prayer. Optional memorial may be inserted from the Proper of Saints if chosen.</x:v>
      </x:c>
      <x:c r="L189" s="42" t="str">
        <x:v>Night Prayer for Tuesday.</x:v>
      </x:c>
      <x:c r="M18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90">
      <x:c r="A190" s="40" t="n">
        <x:v>46204</x:v>
      </x:c>
      <x:c r="B190" s="41" t="str">
        <x:v>Wednesday</x:v>
      </x:c>
      <x:c r="C190" s="133" t="str">
        <x:v>Ordinary Time</x:v>
      </x:c>
      <x:c r="D190" s="41" t="str">
        <x:v>Weekday in Ordinary Time</x:v>
      </x:c>
      <x:c r="E190" s="41" t="str">
        <x:v>Weekday</x:v>
      </x:c>
      <x:c r="F190" s="41" t="str">
        <x:v>Vol. III — Ordinary Time</x:v>
      </x:c>
      <x:c r="G190" s="42" t="str">
        <x:v>Psalter Week I (OT Week 13)</x:v>
      </x:c>
      <x:c r="H190" s="42" t="str">
        <x:v>Proper of Seasons + Psalter Week I (OT Week 13); weekday Office of Readings. Optional memorial may be inserted from the Proper of Saints if chosen.</x:v>
      </x:c>
      <x:c r="I190" s="42" t="str">
        <x:v>Proper of Seasons + Psalter Week I (OT Week 13); weekday Morning Prayer. Optional memorial may be inserted from the Proper of Saints if chosen.</x:v>
      </x:c>
      <x:c r="J190" s="42" t="str">
        <x:v>Proper of Seasons + Psalter Week I (OT Week 13); choose Midmorning, Midday, or Midafternoon Prayer.</x:v>
      </x:c>
      <x:c r="K190" s="42" t="str">
        <x:v>Proper of Seasons + Psalter Week I (OT Week 13); weekday Evening Prayer. Optional memorial may be inserted from the Proper of Saints if chosen.</x:v>
      </x:c>
      <x:c r="L190" s="42" t="str">
        <x:v>Night Prayer for Wednesday.</x:v>
      </x:c>
      <x:c r="M19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91">
      <x:c r="A191" s="40" t="n">
        <x:v>46205</x:v>
      </x:c>
      <x:c r="B191" s="41" t="str">
        <x:v>Thursday</x:v>
      </x:c>
      <x:c r="C191" s="133" t="str">
        <x:v>Ordinary Time</x:v>
      </x:c>
      <x:c r="D191" s="41" t="str">
        <x:v>Weekday in Ordinary Time</x:v>
      </x:c>
      <x:c r="E191" s="41" t="str">
        <x:v>Weekday</x:v>
      </x:c>
      <x:c r="F191" s="41" t="str">
        <x:v>Vol. III — Ordinary Time</x:v>
      </x:c>
      <x:c r="G191" s="42" t="str">
        <x:v>Psalter Week I (OT Week 13)</x:v>
      </x:c>
      <x:c r="H191" s="42" t="str">
        <x:v>Proper of Seasons + Psalter Week I (OT Week 13); weekday Office of Readings.</x:v>
      </x:c>
      <x:c r="I191" s="42" t="str">
        <x:v>Proper of Seasons + Psalter Week I (OT Week 13); weekday Morning Prayer.</x:v>
      </x:c>
      <x:c r="J191" s="42" t="str">
        <x:v>Proper of Seasons + Psalter Week I (OT Week 13); choose Midmorning, Midday, or Midafternoon Prayer.</x:v>
      </x:c>
      <x:c r="K191" s="42" t="str">
        <x:v>Proper of Seasons + Psalter Week I (OT Week 13); weekday Evening Prayer.</x:v>
      </x:c>
      <x:c r="L191" s="42" t="str">
        <x:v>Night Prayer for Thursday.</x:v>
      </x:c>
      <x:c r="M19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92">
      <x:c r="A192" s="40" t="n">
        <x:v>46206</x:v>
      </x:c>
      <x:c r="B192" s="41" t="str">
        <x:v>Friday</x:v>
      </x:c>
      <x:c r="C192" s="133" t="str">
        <x:v>Ordinary Time</x:v>
      </x:c>
      <x:c r="D192" s="131" t="str">
        <x:v>Saint Thomas, Apostle</x:v>
      </x:c>
      <x:c r="E192" s="131" t="str">
        <x:v>Feast</x:v>
      </x:c>
      <x:c r="F192" s="131" t="str">
        <x:v>Vol. III — Ordinary Time</x:v>
      </x:c>
      <x:c r="G192" s="132" t="str">
        <x:v>Proper / Common</x:v>
      </x:c>
      <x:c r="H192" s="42" t="str">
        <x:v>Proper of Seasons/Saints → Feast; use Common where directed.</x:v>
      </x:c>
      <x:c r="I192" s="42" t="str">
        <x:v>Proper of the Feast/Common as directed; use feast psalmody where provided.</x:v>
      </x:c>
      <x:c r="J192" s="42" t="str">
        <x:v>Proper / Common; Daytime Prayer of the season, with the feast's proper elements where directed.</x:v>
      </x:c>
      <x:c r="K192" s="42" t="str">
        <x:v>Proper of the Feast/Common as directed for Evening Prayer.</x:v>
      </x:c>
      <x:c r="L192" s="42" t="str">
        <x:v>Night Prayer for Friday.</x:v>
      </x:c>
      <x:c r="M192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193">
      <x:c r="A193" s="40" t="n">
        <x:v>46207</x:v>
      </x:c>
      <x:c r="B193" s="41" t="str">
        <x:v>Saturday</x:v>
      </x:c>
      <x:c r="C193" s="133" t="str">
        <x:v>Ordinary Time</x:v>
      </x:c>
      <x:c r="D193" s="41" t="str">
        <x:v>Weekday in Ordinary Time</x:v>
      </x:c>
      <x:c r="E193" s="41" t="str">
        <x:v>Weekday</x:v>
      </x:c>
      <x:c r="F193" s="41" t="str">
        <x:v>Vol. III — Ordinary Time</x:v>
      </x:c>
      <x:c r="G193" s="42" t="str">
        <x:v>Psalter Week I (OT Week 13)</x:v>
      </x:c>
      <x:c r="H193" s="42" t="str">
        <x:v>Proper of Seasons + Psalter Week I (OT Week 13); weekday Office of Readings.</x:v>
      </x:c>
      <x:c r="I193" s="42" t="str">
        <x:v>Proper of Seasons + Psalter Week I (OT Week 13); weekday Morning Prayer.</x:v>
      </x:c>
      <x:c r="J193" s="42" t="str">
        <x:v>Proper of Seasons + Psalter Week I (OT Week 13); choose Midmorning, Midday, or Midafternoon Prayer.</x:v>
      </x:c>
      <x:c r="K193" s="42" t="str">
        <x:v>First Vespers of Sunday: Fourteenth Sunday in Ordinary Time — Proper of Seasons + tomorrow's Psalter week.</x:v>
      </x:c>
      <x:c r="L193" s="42" t="str">
        <x:v>Night Prayer I of Sunday after First Vespers.</x:v>
      </x:c>
      <x:c r="M193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94">
      <x:c r="A194" s="40" t="n">
        <x:v>46208</x:v>
      </x:c>
      <x:c r="B194" s="41" t="str">
        <x:v>Sunday</x:v>
      </x:c>
      <x:c r="C194" s="133" t="str">
        <x:v>Ordinary Time</x:v>
      </x:c>
      <x:c r="D194" s="41" t="str">
        <x:v>Fourteenth Sunday in Ordinary Time</x:v>
      </x:c>
      <x:c r="E194" s="41" t="str">
        <x:v>Sunday</x:v>
      </x:c>
      <x:c r="F194" s="41" t="str">
        <x:v>Vol. III — Ordinary Time</x:v>
      </x:c>
      <x:c r="G194" s="42" t="str">
        <x:v>Psalter Week II (OT Week 14)</x:v>
      </x:c>
      <x:c r="H194" s="42" t="str">
        <x:v>Proper of Seasons + Psalter Week II (OT Week 14); Office of Readings for Sunday.</x:v>
      </x:c>
      <x:c r="I194" s="42" t="str">
        <x:v>Proper of Seasons + Psalter Week II (OT Week 14); Morning Prayer for Sunday.</x:v>
      </x:c>
      <x:c r="J194" s="42" t="str">
        <x:v>Psalter Week II (OT Week 14); Sunday Daytime Prayer + seasonal proper.</x:v>
      </x:c>
      <x:c r="K194" s="42" t="str">
        <x:v>Evening Prayer II of Sunday — Proper of Seasons + Psalter Week II (OT Week 14).</x:v>
      </x:c>
      <x:c r="L194" s="42" t="str">
        <x:v>Night Prayer II of Sunday.</x:v>
      </x:c>
      <x:c r="M194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195">
      <x:c r="A195" s="40" t="n">
        <x:v>46209</x:v>
      </x:c>
      <x:c r="B195" s="41" t="str">
        <x:v>Monday</x:v>
      </x:c>
      <x:c r="C195" s="133" t="str">
        <x:v>Ordinary Time</x:v>
      </x:c>
      <x:c r="D195" s="41" t="str">
        <x:v>Weekday in Ordinary Time</x:v>
      </x:c>
      <x:c r="E195" s="41" t="str">
        <x:v>Weekday</x:v>
      </x:c>
      <x:c r="F195" s="41" t="str">
        <x:v>Vol. III — Ordinary Time</x:v>
      </x:c>
      <x:c r="G195" s="42" t="str">
        <x:v>Psalter Week II (OT Week 14)</x:v>
      </x:c>
      <x:c r="H195" s="42" t="str">
        <x:v>Proper of Seasons + Psalter Week II (OT Week 14); weekday Office of Readings. Optional memorial may be inserted from the Proper of Saints if chosen.</x:v>
      </x:c>
      <x:c r="I195" s="42" t="str">
        <x:v>Proper of Seasons + Psalter Week II (OT Week 14); weekday Morning Prayer. Optional memorial may be inserted from the Proper of Saints if chosen.</x:v>
      </x:c>
      <x:c r="J195" s="42" t="str">
        <x:v>Proper of Seasons + Psalter Week II (OT Week 14); choose Midmorning, Midday, or Midafternoon Prayer.</x:v>
      </x:c>
      <x:c r="K195" s="42" t="str">
        <x:v>Proper of Seasons + Psalter Week II (OT Week 14); weekday Evening Prayer. Optional memorial may be inserted from the Proper of Saints if chosen.</x:v>
      </x:c>
      <x:c r="L195" s="42" t="str">
        <x:v>Night Prayer for Monday.</x:v>
      </x:c>
      <x:c r="M19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96">
      <x:c r="A196" s="40" t="n">
        <x:v>46210</x:v>
      </x:c>
      <x:c r="B196" s="41" t="str">
        <x:v>Tuesday</x:v>
      </x:c>
      <x:c r="C196" s="133" t="str">
        <x:v>Ordinary Time</x:v>
      </x:c>
      <x:c r="D196" s="41" t="str">
        <x:v>Weekday in Ordinary Time</x:v>
      </x:c>
      <x:c r="E196" s="41" t="str">
        <x:v>Weekday</x:v>
      </x:c>
      <x:c r="F196" s="41" t="str">
        <x:v>Vol. III — Ordinary Time</x:v>
      </x:c>
      <x:c r="G196" s="42" t="str">
        <x:v>Psalter Week II (OT Week 14)</x:v>
      </x:c>
      <x:c r="H196" s="42" t="str">
        <x:v>Proper of Seasons + Psalter Week II (OT Week 14); weekday Office of Readings.</x:v>
      </x:c>
      <x:c r="I196" s="42" t="str">
        <x:v>Proper of Seasons + Psalter Week II (OT Week 14); weekday Morning Prayer.</x:v>
      </x:c>
      <x:c r="J196" s="42" t="str">
        <x:v>Proper of Seasons + Psalter Week II (OT Week 14); choose Midmorning, Midday, or Midafternoon Prayer.</x:v>
      </x:c>
      <x:c r="K196" s="42" t="str">
        <x:v>Proper of Seasons + Psalter Week II (OT Week 14); weekday Evening Prayer.</x:v>
      </x:c>
      <x:c r="L196" s="42" t="str">
        <x:v>Night Prayer for Tuesday.</x:v>
      </x:c>
      <x:c r="M19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97">
      <x:c r="A197" s="40" t="n">
        <x:v>46211</x:v>
      </x:c>
      <x:c r="B197" s="41" t="str">
        <x:v>Wednesday</x:v>
      </x:c>
      <x:c r="C197" s="133" t="str">
        <x:v>Ordinary Time</x:v>
      </x:c>
      <x:c r="D197" s="41" t="str">
        <x:v>Weekday in Ordinary Time</x:v>
      </x:c>
      <x:c r="E197" s="41" t="str">
        <x:v>Weekday</x:v>
      </x:c>
      <x:c r="F197" s="41" t="str">
        <x:v>Vol. III — Ordinary Time</x:v>
      </x:c>
      <x:c r="G197" s="42" t="str">
        <x:v>Psalter Week II (OT Week 14)</x:v>
      </x:c>
      <x:c r="H197" s="42" t="str">
        <x:v>Proper of Seasons + Psalter Week II (OT Week 14); weekday Office of Readings.</x:v>
      </x:c>
      <x:c r="I197" s="42" t="str">
        <x:v>Proper of Seasons + Psalter Week II (OT Week 14); weekday Morning Prayer.</x:v>
      </x:c>
      <x:c r="J197" s="42" t="str">
        <x:v>Proper of Seasons + Psalter Week II (OT Week 14); choose Midmorning, Midday, or Midafternoon Prayer.</x:v>
      </x:c>
      <x:c r="K197" s="42" t="str">
        <x:v>Proper of Seasons + Psalter Week II (OT Week 14); weekday Evening Prayer.</x:v>
      </x:c>
      <x:c r="L197" s="42" t="str">
        <x:v>Night Prayer for Wednesday.</x:v>
      </x:c>
      <x:c r="M19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98">
      <x:c r="A198" s="40" t="n">
        <x:v>46212</x:v>
      </x:c>
      <x:c r="B198" s="41" t="str">
        <x:v>Thursday</x:v>
      </x:c>
      <x:c r="C198" s="133" t="str">
        <x:v>Ordinary Time</x:v>
      </x:c>
      <x:c r="D198" s="41" t="str">
        <x:v>Weekday in Ordinary Time</x:v>
      </x:c>
      <x:c r="E198" s="41" t="str">
        <x:v>Weekday</x:v>
      </x:c>
      <x:c r="F198" s="41" t="str">
        <x:v>Vol. III — Ordinary Time</x:v>
      </x:c>
      <x:c r="G198" s="42" t="str">
        <x:v>Psalter Week II (OT Week 14)</x:v>
      </x:c>
      <x:c r="H198" s="42" t="str">
        <x:v>Proper of Seasons + Psalter Week II (OT Week 14); weekday Office of Readings. Optional memorial may be inserted from the Proper of Saints if chosen.</x:v>
      </x:c>
      <x:c r="I198" s="42" t="str">
        <x:v>Proper of Seasons + Psalter Week II (OT Week 14); weekday Morning Prayer. Optional memorial may be inserted from the Proper of Saints if chosen.</x:v>
      </x:c>
      <x:c r="J198" s="42" t="str">
        <x:v>Proper of Seasons + Psalter Week II (OT Week 14); choose Midmorning, Midday, or Midafternoon Prayer.</x:v>
      </x:c>
      <x:c r="K198" s="42" t="str">
        <x:v>Proper of Seasons + Psalter Week II (OT Week 14); weekday Evening Prayer. Optional memorial may be inserted from the Proper of Saints if chosen.</x:v>
      </x:c>
      <x:c r="L198" s="42" t="str">
        <x:v>Night Prayer for Thursday.</x:v>
      </x:c>
      <x:c r="M19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199">
      <x:c r="A199" s="40" t="n">
        <x:v>46213</x:v>
      </x:c>
      <x:c r="B199" s="41" t="str">
        <x:v>Friday</x:v>
      </x:c>
      <x:c r="C199" s="133" t="str">
        <x:v>Ordinary Time</x:v>
      </x:c>
      <x:c r="D199" s="41" t="str">
        <x:v>Weekday in Ordinary Time</x:v>
      </x:c>
      <x:c r="E199" s="41" t="str">
        <x:v>Weekday</x:v>
      </x:c>
      <x:c r="F199" s="41" t="str">
        <x:v>Vol. III — Ordinary Time</x:v>
      </x:c>
      <x:c r="G199" s="42" t="str">
        <x:v>Psalter Week II (OT Week 14)</x:v>
      </x:c>
      <x:c r="H199" s="42" t="str">
        <x:v>Proper of Seasons + Psalter Week II (OT Week 14); weekday Office of Readings.</x:v>
      </x:c>
      <x:c r="I199" s="42" t="str">
        <x:v>Proper of Seasons + Psalter Week II (OT Week 14); weekday Morning Prayer.</x:v>
      </x:c>
      <x:c r="J199" s="42" t="str">
        <x:v>Proper of Seasons + Psalter Week II (OT Week 14); choose Midmorning, Midday, or Midafternoon Prayer.</x:v>
      </x:c>
      <x:c r="K199" s="42" t="str">
        <x:v>Proper of Seasons + Psalter Week II (OT Week 14); weekday Evening Prayer.</x:v>
      </x:c>
      <x:c r="L199" s="42" t="str">
        <x:v>Night Prayer for Friday.</x:v>
      </x:c>
      <x:c r="M19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00">
      <x:c r="A200" s="40" t="n">
        <x:v>46214</x:v>
      </x:c>
      <x:c r="B200" s="41" t="str">
        <x:v>Saturday</x:v>
      </x:c>
      <x:c r="C200" s="133" t="str">
        <x:v>Ordinary Time</x:v>
      </x:c>
      <x:c r="D200" s="41" t="str">
        <x:v>Saint Benedict</x:v>
      </x:c>
      <x:c r="E200" s="41" t="str">
        <x:v>Memorial</x:v>
      </x:c>
      <x:c r="F200" s="41" t="str">
        <x:v>Vol. III — Ordinary Time</x:v>
      </x:c>
      <x:c r="G200" s="42" t="str">
        <x:v>Psalter Week II (OT Week 14)</x:v>
      </x:c>
      <x:c r="H200" s="42" t="str">
        <x:v>Psalter Week II (OT Week 14); Proper of Saints for the saint's proper reading/prayer; Common where directed.</x:v>
      </x:c>
      <x:c r="I200" s="42" t="str">
        <x:v>Psalter Week II (OT Week 14); Morning Prayer with Proper of Saints/Common elements as directed.</x:v>
      </x:c>
      <x:c r="J200" s="42" t="str">
        <x:v>Psalter Week II (OT Week 14); Daytime Prayer of the season; use the memorial's concluding prayer where directed.</x:v>
      </x:c>
      <x:c r="K200" s="42" t="str">
        <x:v>First Vespers of Sunday: Fifteenth Sunday in Ordinary Time — Proper of Seasons + tomorrow's Psalter week.</x:v>
      </x:c>
      <x:c r="L200" s="42" t="str">
        <x:v>Night Prayer I of Sunday after First Vespers.</x:v>
      </x:c>
      <x:c r="M200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01">
      <x:c r="A201" s="40" t="n">
        <x:v>46215</x:v>
      </x:c>
      <x:c r="B201" s="41" t="str">
        <x:v>Sunday</x:v>
      </x:c>
      <x:c r="C201" s="133" t="str">
        <x:v>Ordinary Time</x:v>
      </x:c>
      <x:c r="D201" s="41" t="str">
        <x:v>Fifteenth Sunday in Ordinary Time</x:v>
      </x:c>
      <x:c r="E201" s="41" t="str">
        <x:v>Sunday</x:v>
      </x:c>
      <x:c r="F201" s="41" t="str">
        <x:v>Vol. III — Ordinary Time</x:v>
      </x:c>
      <x:c r="G201" s="42" t="str">
        <x:v>Psalter Week III (OT Week 15)</x:v>
      </x:c>
      <x:c r="H201" s="42" t="str">
        <x:v>Proper of Seasons + Psalter Week III (OT Week 15); Office of Readings for Sunday.</x:v>
      </x:c>
      <x:c r="I201" s="42" t="str">
        <x:v>Proper of Seasons + Psalter Week III (OT Week 15); Morning Prayer for Sunday.</x:v>
      </x:c>
      <x:c r="J201" s="42" t="str">
        <x:v>Psalter Week III (OT Week 15); Sunday Daytime Prayer + seasonal proper.</x:v>
      </x:c>
      <x:c r="K201" s="42" t="str">
        <x:v>Evening Prayer II of Sunday — Proper of Seasons + Psalter Week III (OT Week 15).</x:v>
      </x:c>
      <x:c r="L201" s="42" t="str">
        <x:v>Night Prayer II of Sunday.</x:v>
      </x:c>
      <x:c r="M201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02">
      <x:c r="A202" s="40" t="n">
        <x:v>46216</x:v>
      </x:c>
      <x:c r="B202" s="41" t="str">
        <x:v>Monday</x:v>
      </x:c>
      <x:c r="C202" s="133" t="str">
        <x:v>Ordinary Time</x:v>
      </x:c>
      <x:c r="D202" s="41" t="str">
        <x:v>Weekday in Ordinary Time</x:v>
      </x:c>
      <x:c r="E202" s="41" t="str">
        <x:v>Weekday</x:v>
      </x:c>
      <x:c r="F202" s="41" t="str">
        <x:v>Vol. III — Ordinary Time</x:v>
      </x:c>
      <x:c r="G202" s="42" t="str">
        <x:v>Psalter Week III (OT Week 15)</x:v>
      </x:c>
      <x:c r="H202" s="42" t="str">
        <x:v>Proper of Seasons + Psalter Week III (OT Week 15); weekday Office of Readings. Optional memorial may be inserted from the Proper of Saints if chosen.</x:v>
      </x:c>
      <x:c r="I202" s="42" t="str">
        <x:v>Proper of Seasons + Psalter Week III (OT Week 15); weekday Morning Prayer. Optional memorial may be inserted from the Proper of Saints if chosen.</x:v>
      </x:c>
      <x:c r="J202" s="42" t="str">
        <x:v>Proper of Seasons + Psalter Week III (OT Week 15); choose Midmorning, Midday, or Midafternoon Prayer.</x:v>
      </x:c>
      <x:c r="K202" s="42" t="str">
        <x:v>Proper of Seasons + Psalter Week III (OT Week 15); weekday Evening Prayer. Optional memorial may be inserted from the Proper of Saints if chosen.</x:v>
      </x:c>
      <x:c r="L202" s="42" t="str">
        <x:v>Night Prayer for Monday.</x:v>
      </x:c>
      <x:c r="M20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03">
      <x:c r="A203" s="40" t="n">
        <x:v>46217</x:v>
      </x:c>
      <x:c r="B203" s="41" t="str">
        <x:v>Tuesday</x:v>
      </x:c>
      <x:c r="C203" s="133" t="str">
        <x:v>Ordinary Time</x:v>
      </x:c>
      <x:c r="D203" s="41" t="str">
        <x:v>Saint Kateri Tekakwitha</x:v>
      </x:c>
      <x:c r="E203" s="41" t="str">
        <x:v>Memorial</x:v>
      </x:c>
      <x:c r="F203" s="41" t="str">
        <x:v>Vol. III — Ordinary Time</x:v>
      </x:c>
      <x:c r="G203" s="42" t="str">
        <x:v>Psalter Week III (OT Week 15)</x:v>
      </x:c>
      <x:c r="H203" s="42" t="str">
        <x:v>Psalter Week III (OT Week 15); Proper of Saints for the saint's proper reading/prayer; Common where directed.</x:v>
      </x:c>
      <x:c r="I203" s="42" t="str">
        <x:v>Psalter Week III (OT Week 15); Morning Prayer with Proper of Saints/Common elements as directed.</x:v>
      </x:c>
      <x:c r="J203" s="42" t="str">
        <x:v>Psalter Week III (OT Week 15); Daytime Prayer of the season; use the memorial's concluding prayer where directed.</x:v>
      </x:c>
      <x:c r="K203" s="42" t="str">
        <x:v>Psalter Week III (OT Week 15); Evening Prayer with Proper of Saints/Common elements as directed.</x:v>
      </x:c>
      <x:c r="L203" s="42" t="str">
        <x:v>Night Prayer for Tuesday.</x:v>
      </x:c>
      <x:c r="M203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04">
      <x:c r="A204" s="40" t="n">
        <x:v>46218</x:v>
      </x:c>
      <x:c r="B204" s="41" t="str">
        <x:v>Wednesday</x:v>
      </x:c>
      <x:c r="C204" s="133" t="str">
        <x:v>Ordinary Time</x:v>
      </x:c>
      <x:c r="D204" s="41" t="str">
        <x:v>Saint Bonaventure</x:v>
      </x:c>
      <x:c r="E204" s="41" t="str">
        <x:v>Memorial</x:v>
      </x:c>
      <x:c r="F204" s="41" t="str">
        <x:v>Vol. III — Ordinary Time</x:v>
      </x:c>
      <x:c r="G204" s="42" t="str">
        <x:v>Psalter Week III (OT Week 15)</x:v>
      </x:c>
      <x:c r="H204" s="42" t="str">
        <x:v>Psalter Week III (OT Week 15); Proper of Saints for the saint's proper reading/prayer; Common where directed.</x:v>
      </x:c>
      <x:c r="I204" s="42" t="str">
        <x:v>Psalter Week III (OT Week 15); Morning Prayer with Proper of Saints/Common elements as directed.</x:v>
      </x:c>
      <x:c r="J204" s="42" t="str">
        <x:v>Psalter Week III (OT Week 15); Daytime Prayer of the season; use the memorial's concluding prayer where directed.</x:v>
      </x:c>
      <x:c r="K204" s="42" t="str">
        <x:v>Psalter Week III (OT Week 15); Evening Prayer with Proper of Saints/Common elements as directed.</x:v>
      </x:c>
      <x:c r="L204" s="42" t="str">
        <x:v>Night Prayer for Wednesday.</x:v>
      </x:c>
      <x:c r="M20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05">
      <x:c r="A205" s="40" t="n">
        <x:v>46219</x:v>
      </x:c>
      <x:c r="B205" s="41" t="str">
        <x:v>Thursday</x:v>
      </x:c>
      <x:c r="C205" s="133" t="str">
        <x:v>Ordinary Time</x:v>
      </x:c>
      <x:c r="D205" s="41" t="str">
        <x:v>Weekday in Ordinary Time</x:v>
      </x:c>
      <x:c r="E205" s="41" t="str">
        <x:v>Weekday</x:v>
      </x:c>
      <x:c r="F205" s="41" t="str">
        <x:v>Vol. III — Ordinary Time</x:v>
      </x:c>
      <x:c r="G205" s="42" t="str">
        <x:v>Psalter Week III (OT Week 15)</x:v>
      </x:c>
      <x:c r="H205" s="42" t="str">
        <x:v>Proper of Seasons + Psalter Week III (OT Week 15); weekday Office of Readings. Optional memorial may be inserted from the Proper of Saints if chosen.</x:v>
      </x:c>
      <x:c r="I205" s="42" t="str">
        <x:v>Proper of Seasons + Psalter Week III (OT Week 15); weekday Morning Prayer. Optional memorial may be inserted from the Proper of Saints if chosen.</x:v>
      </x:c>
      <x:c r="J205" s="42" t="str">
        <x:v>Proper of Seasons + Psalter Week III (OT Week 15); choose Midmorning, Midday, or Midafternoon Prayer.</x:v>
      </x:c>
      <x:c r="K205" s="42" t="str">
        <x:v>Proper of Seasons + Psalter Week III (OT Week 15); weekday Evening Prayer. Optional memorial may be inserted from the Proper of Saints if chosen.</x:v>
      </x:c>
      <x:c r="L205" s="42" t="str">
        <x:v>Night Prayer for Thursday.</x:v>
      </x:c>
      <x:c r="M20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06">
      <x:c r="A206" s="40" t="n">
        <x:v>46220</x:v>
      </x:c>
      <x:c r="B206" s="41" t="str">
        <x:v>Friday</x:v>
      </x:c>
      <x:c r="C206" s="133" t="str">
        <x:v>Ordinary Time</x:v>
      </x:c>
      <x:c r="D206" s="41" t="str">
        <x:v>Weekday in Ordinary Time</x:v>
      </x:c>
      <x:c r="E206" s="41" t="str">
        <x:v>Weekday</x:v>
      </x:c>
      <x:c r="F206" s="41" t="str">
        <x:v>Vol. III — Ordinary Time</x:v>
      </x:c>
      <x:c r="G206" s="42" t="str">
        <x:v>Psalter Week III (OT Week 15)</x:v>
      </x:c>
      <x:c r="H206" s="42" t="str">
        <x:v>Proper of Seasons + Psalter Week III (OT Week 15); weekday Office of Readings.</x:v>
      </x:c>
      <x:c r="I206" s="42" t="str">
        <x:v>Proper of Seasons + Psalter Week III (OT Week 15); weekday Morning Prayer.</x:v>
      </x:c>
      <x:c r="J206" s="42" t="str">
        <x:v>Proper of Seasons + Psalter Week III (OT Week 15); choose Midmorning, Midday, or Midafternoon Prayer.</x:v>
      </x:c>
      <x:c r="K206" s="42" t="str">
        <x:v>Proper of Seasons + Psalter Week III (OT Week 15); weekday Evening Prayer.</x:v>
      </x:c>
      <x:c r="L206" s="42" t="str">
        <x:v>Night Prayer for Friday.</x:v>
      </x:c>
      <x:c r="M20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07">
      <x:c r="A207" s="40" t="n">
        <x:v>46221</x:v>
      </x:c>
      <x:c r="B207" s="41" t="str">
        <x:v>Saturday</x:v>
      </x:c>
      <x:c r="C207" s="133" t="str">
        <x:v>Ordinary Time</x:v>
      </x:c>
      <x:c r="D207" s="41" t="str">
        <x:v>Weekday in Ordinary Time</x:v>
      </x:c>
      <x:c r="E207" s="41" t="str">
        <x:v>Weekday</x:v>
      </x:c>
      <x:c r="F207" s="41" t="str">
        <x:v>Vol. III — Ordinary Time</x:v>
      </x:c>
      <x:c r="G207" s="42" t="str">
        <x:v>Psalter Week III (OT Week 15)</x:v>
      </x:c>
      <x:c r="H207" s="42" t="str">
        <x:v>Proper of Seasons + Psalter Week III (OT Week 15); weekday Office of Readings. Optional memorial may be inserted from the Proper of Saints if chosen.</x:v>
      </x:c>
      <x:c r="I207" s="42" t="str">
        <x:v>Proper of Seasons + Psalter Week III (OT Week 15); weekday Morning Prayer. Optional memorial may be inserted from the Proper of Saints if chosen.</x:v>
      </x:c>
      <x:c r="J207" s="42" t="str">
        <x:v>Proper of Seasons + Psalter Week III (OT Week 15); choose Midmorning, Midday, or Midafternoon Prayer.</x:v>
      </x:c>
      <x:c r="K207" s="42" t="str">
        <x:v>First Vespers of Sunday: Sixteenth Sunday in Ordinary Time — Proper of Seasons + tomorrow's Psalter week.</x:v>
      </x:c>
      <x:c r="L207" s="42" t="str">
        <x:v>Night Prayer I of Sunday after First Vespers.</x:v>
      </x:c>
      <x:c r="M207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08">
      <x:c r="A208" s="40" t="n">
        <x:v>46222</x:v>
      </x:c>
      <x:c r="B208" s="41" t="str">
        <x:v>Sunday</x:v>
      </x:c>
      <x:c r="C208" s="133" t="str">
        <x:v>Ordinary Time</x:v>
      </x:c>
      <x:c r="D208" s="41" t="str">
        <x:v>Sixteenth Sunday in Ordinary Time</x:v>
      </x:c>
      <x:c r="E208" s="41" t="str">
        <x:v>Sunday</x:v>
      </x:c>
      <x:c r="F208" s="41" t="str">
        <x:v>Vol. III — Ordinary Time</x:v>
      </x:c>
      <x:c r="G208" s="42" t="str">
        <x:v>Psalter Week IV (OT Week 16)</x:v>
      </x:c>
      <x:c r="H208" s="42" t="str">
        <x:v>Proper of Seasons + Psalter Week IV (OT Week 16); Office of Readings for Sunday.</x:v>
      </x:c>
      <x:c r="I208" s="42" t="str">
        <x:v>Proper of Seasons + Psalter Week IV (OT Week 16); Morning Prayer for Sunday.</x:v>
      </x:c>
      <x:c r="J208" s="42" t="str">
        <x:v>Psalter Week IV (OT Week 16); Sunday Daytime Prayer + seasonal proper.</x:v>
      </x:c>
      <x:c r="K208" s="42" t="str">
        <x:v>Evening Prayer II of Sunday — Proper of Seasons + Psalter Week IV (OT Week 16).</x:v>
      </x:c>
      <x:c r="L208" s="42" t="str">
        <x:v>Night Prayer II of Sunday.</x:v>
      </x:c>
      <x:c r="M208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09">
      <x:c r="A209" s="40" t="n">
        <x:v>46223</x:v>
      </x:c>
      <x:c r="B209" s="41" t="str">
        <x:v>Monday</x:v>
      </x:c>
      <x:c r="C209" s="133" t="str">
        <x:v>Ordinary Time</x:v>
      </x:c>
      <x:c r="D209" s="41" t="str">
        <x:v>Weekday in Ordinary Time</x:v>
      </x:c>
      <x:c r="E209" s="41" t="str">
        <x:v>Weekday</x:v>
      </x:c>
      <x:c r="F209" s="41" t="str">
        <x:v>Vol. III — Ordinary Time</x:v>
      </x:c>
      <x:c r="G209" s="42" t="str">
        <x:v>Psalter Week IV (OT Week 16)</x:v>
      </x:c>
      <x:c r="H209" s="42" t="str">
        <x:v>Proper of Seasons + Psalter Week IV (OT Week 16); weekday Office of Readings. Optional memorial may be inserted from the Proper of Saints if chosen.</x:v>
      </x:c>
      <x:c r="I209" s="42" t="str">
        <x:v>Proper of Seasons + Psalter Week IV (OT Week 16); weekday Morning Prayer. Optional memorial may be inserted from the Proper of Saints if chosen.</x:v>
      </x:c>
      <x:c r="J209" s="42" t="str">
        <x:v>Proper of Seasons + Psalter Week IV (OT Week 16); choose Midmorning, Midday, or Midafternoon Prayer.</x:v>
      </x:c>
      <x:c r="K209" s="42" t="str">
        <x:v>Proper of Seasons + Psalter Week IV (OT Week 16); weekday Evening Prayer. Optional memorial may be inserted from the Proper of Saints if chosen.</x:v>
      </x:c>
      <x:c r="L209" s="42" t="str">
        <x:v>Night Prayer for Monday.</x:v>
      </x:c>
      <x:c r="M20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10">
      <x:c r="A210" s="40" t="n">
        <x:v>46224</x:v>
      </x:c>
      <x:c r="B210" s="41" t="str">
        <x:v>Tuesday</x:v>
      </x:c>
      <x:c r="C210" s="133" t="str">
        <x:v>Ordinary Time</x:v>
      </x:c>
      <x:c r="D210" s="41" t="str">
        <x:v>Weekday in Ordinary Time</x:v>
      </x:c>
      <x:c r="E210" s="41" t="str">
        <x:v>Weekday</x:v>
      </x:c>
      <x:c r="F210" s="41" t="str">
        <x:v>Vol. III — Ordinary Time</x:v>
      </x:c>
      <x:c r="G210" s="42" t="str">
        <x:v>Psalter Week IV (OT Week 16)</x:v>
      </x:c>
      <x:c r="H210" s="42" t="str">
        <x:v>Proper of Seasons + Psalter Week IV (OT Week 16); weekday Office of Readings. Optional memorial may be inserted from the Proper of Saints if chosen.</x:v>
      </x:c>
      <x:c r="I210" s="42" t="str">
        <x:v>Proper of Seasons + Psalter Week IV (OT Week 16); weekday Morning Prayer. Optional memorial may be inserted from the Proper of Saints if chosen.</x:v>
      </x:c>
      <x:c r="J210" s="42" t="str">
        <x:v>Proper of Seasons + Psalter Week IV (OT Week 16); choose Midmorning, Midday, or Midafternoon Prayer.</x:v>
      </x:c>
      <x:c r="K210" s="42" t="str">
        <x:v>Proper of Seasons + Psalter Week IV (OT Week 16); weekday Evening Prayer. Optional memorial may be inserted from the Proper of Saints if chosen.</x:v>
      </x:c>
      <x:c r="L210" s="42" t="str">
        <x:v>Night Prayer for Tuesday.</x:v>
      </x:c>
      <x:c r="M21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11">
      <x:c r="A211" s="40" t="n">
        <x:v>46225</x:v>
      </x:c>
      <x:c r="B211" s="41" t="str">
        <x:v>Wednesday</x:v>
      </x:c>
      <x:c r="C211" s="133" t="str">
        <x:v>Ordinary Time</x:v>
      </x:c>
      <x:c r="D211" s="131" t="str">
        <x:v>Saint Mary Magdalene</x:v>
      </x:c>
      <x:c r="E211" s="131" t="str">
        <x:v>Feast</x:v>
      </x:c>
      <x:c r="F211" s="131" t="str">
        <x:v>Vol. III — Ordinary Time</x:v>
      </x:c>
      <x:c r="G211" s="132" t="str">
        <x:v>Proper / Common</x:v>
      </x:c>
      <x:c r="H211" s="42" t="str">
        <x:v>Proper of Seasons/Saints → Feast; use Common where directed.</x:v>
      </x:c>
      <x:c r="I211" s="42" t="str">
        <x:v>Proper of the Feast/Common as directed; use feast psalmody where provided.</x:v>
      </x:c>
      <x:c r="J211" s="42" t="str">
        <x:v>Proper / Common; Daytime Prayer of the season, with the feast's proper elements where directed.</x:v>
      </x:c>
      <x:c r="K211" s="42" t="str">
        <x:v>Proper of the Feast/Common as directed for Evening Prayer.</x:v>
      </x:c>
      <x:c r="L211" s="42" t="str">
        <x:v>Night Prayer for Wednesday.</x:v>
      </x:c>
      <x:c r="M211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12">
      <x:c r="A212" s="40" t="n">
        <x:v>46226</x:v>
      </x:c>
      <x:c r="B212" s="41" t="str">
        <x:v>Thursday</x:v>
      </x:c>
      <x:c r="C212" s="133" t="str">
        <x:v>Ordinary Time</x:v>
      </x:c>
      <x:c r="D212" s="41" t="str">
        <x:v>Weekday in Ordinary Time</x:v>
      </x:c>
      <x:c r="E212" s="41" t="str">
        <x:v>Weekday</x:v>
      </x:c>
      <x:c r="F212" s="41" t="str">
        <x:v>Vol. III — Ordinary Time</x:v>
      </x:c>
      <x:c r="G212" s="42" t="str">
        <x:v>Psalter Week IV (OT Week 16)</x:v>
      </x:c>
      <x:c r="H212" s="42" t="str">
        <x:v>Proper of Seasons + Psalter Week IV (OT Week 16); weekday Office of Readings. Optional memorial may be inserted from the Proper of Saints if chosen.</x:v>
      </x:c>
      <x:c r="I212" s="42" t="str">
        <x:v>Proper of Seasons + Psalter Week IV (OT Week 16); weekday Morning Prayer. Optional memorial may be inserted from the Proper of Saints if chosen.</x:v>
      </x:c>
      <x:c r="J212" s="42" t="str">
        <x:v>Proper of Seasons + Psalter Week IV (OT Week 16); choose Midmorning, Midday, or Midafternoon Prayer.</x:v>
      </x:c>
      <x:c r="K212" s="42" t="str">
        <x:v>Proper of Seasons + Psalter Week IV (OT Week 16); weekday Evening Prayer. Optional memorial may be inserted from the Proper of Saints if chosen.</x:v>
      </x:c>
      <x:c r="L212" s="42" t="str">
        <x:v>Night Prayer for Thursday.</x:v>
      </x:c>
      <x:c r="M21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13">
      <x:c r="A213" s="40" t="n">
        <x:v>46227</x:v>
      </x:c>
      <x:c r="B213" s="41" t="str">
        <x:v>Friday</x:v>
      </x:c>
      <x:c r="C213" s="133" t="str">
        <x:v>Ordinary Time</x:v>
      </x:c>
      <x:c r="D213" s="41" t="str">
        <x:v>Weekday in Ordinary Time</x:v>
      </x:c>
      <x:c r="E213" s="41" t="str">
        <x:v>Weekday</x:v>
      </x:c>
      <x:c r="F213" s="41" t="str">
        <x:v>Vol. III — Ordinary Time</x:v>
      </x:c>
      <x:c r="G213" s="42" t="str">
        <x:v>Psalter Week IV (OT Week 16)</x:v>
      </x:c>
      <x:c r="H213" s="42" t="str">
        <x:v>Proper of Seasons + Psalter Week IV (OT Week 16); weekday Office of Readings. Optional memorial may be inserted from the Proper of Saints if chosen.</x:v>
      </x:c>
      <x:c r="I213" s="42" t="str">
        <x:v>Proper of Seasons + Psalter Week IV (OT Week 16); weekday Morning Prayer. Optional memorial may be inserted from the Proper of Saints if chosen.</x:v>
      </x:c>
      <x:c r="J213" s="42" t="str">
        <x:v>Proper of Seasons + Psalter Week IV (OT Week 16); choose Midmorning, Midday, or Midafternoon Prayer.</x:v>
      </x:c>
      <x:c r="K213" s="42" t="str">
        <x:v>Proper of Seasons + Psalter Week IV (OT Week 16); weekday Evening Prayer. Optional memorial may be inserted from the Proper of Saints if chosen.</x:v>
      </x:c>
      <x:c r="L213" s="42" t="str">
        <x:v>Night Prayer for Friday.</x:v>
      </x:c>
      <x:c r="M21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14">
      <x:c r="A214" s="40" t="n">
        <x:v>46228</x:v>
      </x:c>
      <x:c r="B214" s="41" t="str">
        <x:v>Saturday</x:v>
      </x:c>
      <x:c r="C214" s="133" t="str">
        <x:v>Ordinary Time</x:v>
      </x:c>
      <x:c r="D214" s="131" t="str">
        <x:v>Saint James, Apostle</x:v>
      </x:c>
      <x:c r="E214" s="131" t="str">
        <x:v>Feast</x:v>
      </x:c>
      <x:c r="F214" s="131" t="str">
        <x:v>Vol. III — Ordinary Time</x:v>
      </x:c>
      <x:c r="G214" s="132" t="str">
        <x:v>Proper / Common</x:v>
      </x:c>
      <x:c r="H214" s="42" t="str">
        <x:v>Proper of Seasons/Saints → Feast; use Common where directed.</x:v>
      </x:c>
      <x:c r="I214" s="42" t="str">
        <x:v>Proper of the Feast/Common as directed; use feast psalmody where provided.</x:v>
      </x:c>
      <x:c r="J214" s="42" t="str">
        <x:v>Proper / Common; Daytime Prayer of the season, with the feast's proper elements where directed.</x:v>
      </x:c>
      <x:c r="K214" s="42" t="str">
        <x:v>First Vespers of Sunday: Seventeenth Sunday in Ordinary Time — Proper of Seasons + tomorrow's Psalter week.</x:v>
      </x:c>
      <x:c r="L214" s="42" t="str">
        <x:v>Night Prayer I of Sunday after First Vespers.</x:v>
      </x:c>
      <x:c r="M214" s="42" t="str">
        <x:v>Feasts use their proper/Common at the principal Hours; Daytime Prayer usually retains the current seasonal/psalter framework unless directed otherwise.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15">
      <x:c r="A215" s="40" t="n">
        <x:v>46229</x:v>
      </x:c>
      <x:c r="B215" s="41" t="str">
        <x:v>Sunday</x:v>
      </x:c>
      <x:c r="C215" s="133" t="str">
        <x:v>Ordinary Time</x:v>
      </x:c>
      <x:c r="D215" s="41" t="str">
        <x:v>Seventeenth Sunday in Ordinary Time</x:v>
      </x:c>
      <x:c r="E215" s="41" t="str">
        <x:v>Sunday</x:v>
      </x:c>
      <x:c r="F215" s="41" t="str">
        <x:v>Vol. III — Ordinary Time</x:v>
      </x:c>
      <x:c r="G215" s="42" t="str">
        <x:v>Psalter Week I (OT Week 17)</x:v>
      </x:c>
      <x:c r="H215" s="42" t="str">
        <x:v>Proper of Seasons + Psalter Week I (OT Week 17); Office of Readings for Sunday.</x:v>
      </x:c>
      <x:c r="I215" s="42" t="str">
        <x:v>Proper of Seasons + Psalter Week I (OT Week 17); Morning Prayer for Sunday.</x:v>
      </x:c>
      <x:c r="J215" s="42" t="str">
        <x:v>Psalter Week I (OT Week 17); Sunday Daytime Prayer + seasonal proper.</x:v>
      </x:c>
      <x:c r="K215" s="42" t="str">
        <x:v>Evening Prayer II of Sunday — Proper of Seasons + Psalter Week I (OT Week 17).</x:v>
      </x:c>
      <x:c r="L215" s="42" t="str">
        <x:v>Night Prayer II of Sunday.</x:v>
      </x:c>
      <x:c r="M215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16">
      <x:c r="A216" s="40" t="n">
        <x:v>46230</x:v>
      </x:c>
      <x:c r="B216" s="41" t="str">
        <x:v>Monday</x:v>
      </x:c>
      <x:c r="C216" s="133" t="str">
        <x:v>Ordinary Time</x:v>
      </x:c>
      <x:c r="D216" s="41" t="str">
        <x:v>Weekday in Ordinary Time</x:v>
      </x:c>
      <x:c r="E216" s="41" t="str">
        <x:v>Weekday</x:v>
      </x:c>
      <x:c r="F216" s="41" t="str">
        <x:v>Vol. III — Ordinary Time</x:v>
      </x:c>
      <x:c r="G216" s="42" t="str">
        <x:v>Psalter Week I (OT Week 17)</x:v>
      </x:c>
      <x:c r="H216" s="42" t="str">
        <x:v>Proper of Seasons + Psalter Week I (OT Week 17); weekday Office of Readings.</x:v>
      </x:c>
      <x:c r="I216" s="42" t="str">
        <x:v>Proper of Seasons + Psalter Week I (OT Week 17); weekday Morning Prayer.</x:v>
      </x:c>
      <x:c r="J216" s="42" t="str">
        <x:v>Proper of Seasons + Psalter Week I (OT Week 17); choose Midmorning, Midday, or Midafternoon Prayer.</x:v>
      </x:c>
      <x:c r="K216" s="42" t="str">
        <x:v>Proper of Seasons + Psalter Week I (OT Week 17); weekday Evening Prayer.</x:v>
      </x:c>
      <x:c r="L216" s="42" t="str">
        <x:v>Night Prayer for Monday.</x:v>
      </x:c>
      <x:c r="M21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17">
      <x:c r="A217" s="40" t="n">
        <x:v>46231</x:v>
      </x:c>
      <x:c r="B217" s="41" t="str">
        <x:v>Tuesday</x:v>
      </x:c>
      <x:c r="C217" s="133" t="str">
        <x:v>Ordinary Time</x:v>
      </x:c>
      <x:c r="D217" s="41" t="str">
        <x:v>Weekday in Ordinary Time</x:v>
      </x:c>
      <x:c r="E217" s="41" t="str">
        <x:v>Weekday</x:v>
      </x:c>
      <x:c r="F217" s="41" t="str">
        <x:v>Vol. III — Ordinary Time</x:v>
      </x:c>
      <x:c r="G217" s="42" t="str">
        <x:v>Psalter Week I (OT Week 17)</x:v>
      </x:c>
      <x:c r="H217" s="42" t="str">
        <x:v>Proper of Seasons + Psalter Week I (OT Week 17); weekday Office of Readings.</x:v>
      </x:c>
      <x:c r="I217" s="42" t="str">
        <x:v>Proper of Seasons + Psalter Week I (OT Week 17); weekday Morning Prayer.</x:v>
      </x:c>
      <x:c r="J217" s="42" t="str">
        <x:v>Proper of Seasons + Psalter Week I (OT Week 17); choose Midmorning, Midday, or Midafternoon Prayer.</x:v>
      </x:c>
      <x:c r="K217" s="42" t="str">
        <x:v>Proper of Seasons + Psalter Week I (OT Week 17); weekday Evening Prayer.</x:v>
      </x:c>
      <x:c r="L217" s="42" t="str">
        <x:v>Night Prayer for Tuesday.</x:v>
      </x:c>
      <x:c r="M21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18">
      <x:c r="A218" s="40" t="n">
        <x:v>46232</x:v>
      </x:c>
      <x:c r="B218" s="41" t="str">
        <x:v>Wednesday</x:v>
      </x:c>
      <x:c r="C218" s="133" t="str">
        <x:v>Ordinary Time</x:v>
      </x:c>
      <x:c r="D218" s="41" t="str">
        <x:v>Saints Martha, Mary and Lazarus</x:v>
      </x:c>
      <x:c r="E218" s="41" t="str">
        <x:v>Memorial</x:v>
      </x:c>
      <x:c r="F218" s="41" t="str">
        <x:v>Vol. III — Ordinary Time</x:v>
      </x:c>
      <x:c r="G218" s="42" t="str">
        <x:v>Psalter Week I (OT Week 17)</x:v>
      </x:c>
      <x:c r="H218" s="42" t="str">
        <x:v>Psalter Week I (OT Week 17); Proper of Saints for the saint's proper reading/prayer; Common where directed.</x:v>
      </x:c>
      <x:c r="I218" s="42" t="str">
        <x:v>Psalter Week I (OT Week 17); Morning Prayer with Proper of Saints/Common elements as directed.</x:v>
      </x:c>
      <x:c r="J218" s="42" t="str">
        <x:v>Psalter Week I (OT Week 17); Daytime Prayer of the season; use the memorial's concluding prayer where directed.</x:v>
      </x:c>
      <x:c r="K218" s="42" t="str">
        <x:v>Psalter Week I (OT Week 17); Evening Prayer with Proper of Saints/Common elements as directed.</x:v>
      </x:c>
      <x:c r="L218" s="42" t="str">
        <x:v>Night Prayer for Wednesday.</x:v>
      </x:c>
      <x:c r="M218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19">
      <x:c r="A219" s="40" t="n">
        <x:v>46233</x:v>
      </x:c>
      <x:c r="B219" s="41" t="str">
        <x:v>Thursday</x:v>
      </x:c>
      <x:c r="C219" s="133" t="str">
        <x:v>Ordinary Time</x:v>
      </x:c>
      <x:c r="D219" s="41" t="str">
        <x:v>Weekday in Ordinary Time</x:v>
      </x:c>
      <x:c r="E219" s="41" t="str">
        <x:v>Weekday</x:v>
      </x:c>
      <x:c r="F219" s="41" t="str">
        <x:v>Vol. III — Ordinary Time</x:v>
      </x:c>
      <x:c r="G219" s="42" t="str">
        <x:v>Psalter Week I (OT Week 17)</x:v>
      </x:c>
      <x:c r="H219" s="42" t="str">
        <x:v>Proper of Seasons + Psalter Week I (OT Week 17); weekday Office of Readings. Optional memorial may be inserted from the Proper of Saints if chosen.</x:v>
      </x:c>
      <x:c r="I219" s="42" t="str">
        <x:v>Proper of Seasons + Psalter Week I (OT Week 17); weekday Morning Prayer. Optional memorial may be inserted from the Proper of Saints if chosen.</x:v>
      </x:c>
      <x:c r="J219" s="42" t="str">
        <x:v>Proper of Seasons + Psalter Week I (OT Week 17); choose Midmorning, Midday, or Midafternoon Prayer.</x:v>
      </x:c>
      <x:c r="K219" s="42" t="str">
        <x:v>Proper of Seasons + Psalter Week I (OT Week 17); weekday Evening Prayer. Optional memorial may be inserted from the Proper of Saints if chosen.</x:v>
      </x:c>
      <x:c r="L219" s="42" t="str">
        <x:v>Night Prayer for Thursday.</x:v>
      </x:c>
      <x:c r="M21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20">
      <x:c r="A220" s="40" t="n">
        <x:v>46234</x:v>
      </x:c>
      <x:c r="B220" s="41" t="str">
        <x:v>Friday</x:v>
      </x:c>
      <x:c r="C220" s="133" t="str">
        <x:v>Ordinary Time</x:v>
      </x:c>
      <x:c r="D220" s="41" t="str">
        <x:v>Saint Ignatius of Loyola</x:v>
      </x:c>
      <x:c r="E220" s="41" t="str">
        <x:v>Memorial</x:v>
      </x:c>
      <x:c r="F220" s="41" t="str">
        <x:v>Vol. III — Ordinary Time</x:v>
      </x:c>
      <x:c r="G220" s="42" t="str">
        <x:v>Psalter Week I (OT Week 17)</x:v>
      </x:c>
      <x:c r="H220" s="42" t="str">
        <x:v>Psalter Week I (OT Week 17); Proper of Saints for the saint's proper reading/prayer; Common where directed.</x:v>
      </x:c>
      <x:c r="I220" s="42" t="str">
        <x:v>Psalter Week I (OT Week 17); Morning Prayer with Proper of Saints/Common elements as directed.</x:v>
      </x:c>
      <x:c r="J220" s="42" t="str">
        <x:v>Psalter Week I (OT Week 17); Daytime Prayer of the season; use the memorial's concluding prayer where directed.</x:v>
      </x:c>
      <x:c r="K220" s="42" t="str">
        <x:v>Psalter Week I (OT Week 17); Evening Prayer with Proper of Saints/Common elements as directed.</x:v>
      </x:c>
      <x:c r="L220" s="42" t="str">
        <x:v>Night Prayer for Friday.</x:v>
      </x:c>
      <x:c r="M220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21">
      <x:c r="A221" s="40" t="n">
        <x:v>46235</x:v>
      </x:c>
      <x:c r="B221" s="41" t="str">
        <x:v>Saturday</x:v>
      </x:c>
      <x:c r="C221" s="133" t="str">
        <x:v>Ordinary Time</x:v>
      </x:c>
      <x:c r="D221" s="41" t="str">
        <x:v>Saint Alphonsus Liguori</x:v>
      </x:c>
      <x:c r="E221" s="41" t="str">
        <x:v>Memorial</x:v>
      </x:c>
      <x:c r="F221" s="41" t="str">
        <x:v>Vol. III — Ordinary Time</x:v>
      </x:c>
      <x:c r="G221" s="42" t="str">
        <x:v>Psalter Week I (OT Week 17)</x:v>
      </x:c>
      <x:c r="H221" s="42" t="str">
        <x:v>Psalter Week I (OT Week 17); Proper of Saints for the saint's proper reading/prayer; Common where directed.</x:v>
      </x:c>
      <x:c r="I221" s="42" t="str">
        <x:v>Psalter Week I (OT Week 17); Morning Prayer with Proper of Saints/Common elements as directed.</x:v>
      </x:c>
      <x:c r="J221" s="42" t="str">
        <x:v>Psalter Week I (OT Week 17); Daytime Prayer of the season; use the memorial's concluding prayer where directed.</x:v>
      </x:c>
      <x:c r="K221" s="42" t="str">
        <x:v>First Vespers of Sunday: Eighteenth Sunday in Ordinary Time — Proper of Seasons + tomorrow's Psalter week.</x:v>
      </x:c>
      <x:c r="L221" s="42" t="str">
        <x:v>Night Prayer I of Sunday after First Vespers.</x:v>
      </x:c>
      <x:c r="M221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22">
      <x:c r="A222" s="40" t="n">
        <x:v>46236</x:v>
      </x:c>
      <x:c r="B222" s="41" t="str">
        <x:v>Sunday</x:v>
      </x:c>
      <x:c r="C222" s="133" t="str">
        <x:v>Ordinary Time</x:v>
      </x:c>
      <x:c r="D222" s="41" t="str">
        <x:v>Eighteenth Sunday in Ordinary Time</x:v>
      </x:c>
      <x:c r="E222" s="41" t="str">
        <x:v>Sunday</x:v>
      </x:c>
      <x:c r="F222" s="41" t="str">
        <x:v>Vol. IV — Ordinary Time</x:v>
      </x:c>
      <x:c r="G222" s="42" t="str">
        <x:v>Psalter Week II (OT Week 18)</x:v>
      </x:c>
      <x:c r="H222" s="42" t="str">
        <x:v>Proper of Seasons + Psalter Week II (OT Week 18); Office of Readings for Sunday.</x:v>
      </x:c>
      <x:c r="I222" s="42" t="str">
        <x:v>Proper of Seasons + Psalter Week II (OT Week 18); Morning Prayer for Sunday.</x:v>
      </x:c>
      <x:c r="J222" s="42" t="str">
        <x:v>Psalter Week II (OT Week 18); Sunday Daytime Prayer + seasonal proper.</x:v>
      </x:c>
      <x:c r="K222" s="42" t="str">
        <x:v>Evening Prayer II of Sunday — Proper of Seasons + Psalter Week II (OT Week 18).</x:v>
      </x:c>
      <x:c r="L222" s="42" t="str">
        <x:v>Night Prayer II of Sunday.</x:v>
      </x:c>
      <x:c r="M222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23">
      <x:c r="A223" s="40" t="n">
        <x:v>46237</x:v>
      </x:c>
      <x:c r="B223" s="41" t="str">
        <x:v>Monday</x:v>
      </x:c>
      <x:c r="C223" s="133" t="str">
        <x:v>Ordinary Time</x:v>
      </x:c>
      <x:c r="D223" s="41" t="str">
        <x:v>Weekday in Ordinary Time</x:v>
      </x:c>
      <x:c r="E223" s="41" t="str">
        <x:v>Weekday</x:v>
      </x:c>
      <x:c r="F223" s="41" t="str">
        <x:v>Vol. IV — Ordinary Time</x:v>
      </x:c>
      <x:c r="G223" s="42" t="str">
        <x:v>Psalter Week II (OT Week 18)</x:v>
      </x:c>
      <x:c r="H223" s="42" t="str">
        <x:v>Proper of Seasons + Psalter Week II (OT Week 18); weekday Office of Readings.</x:v>
      </x:c>
      <x:c r="I223" s="42" t="str">
        <x:v>Proper of Seasons + Psalter Week II (OT Week 18); weekday Morning Prayer.</x:v>
      </x:c>
      <x:c r="J223" s="42" t="str">
        <x:v>Proper of Seasons + Psalter Week II (OT Week 18); choose Midmorning, Midday, or Midafternoon Prayer.</x:v>
      </x:c>
      <x:c r="K223" s="42" t="str">
        <x:v>Proper of Seasons + Psalter Week II (OT Week 18); weekday Evening Prayer.</x:v>
      </x:c>
      <x:c r="L223" s="42" t="str">
        <x:v>Night Prayer for Monday.</x:v>
      </x:c>
      <x:c r="M22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24">
      <x:c r="A224" s="40" t="n">
        <x:v>46238</x:v>
      </x:c>
      <x:c r="B224" s="41" t="str">
        <x:v>Tuesday</x:v>
      </x:c>
      <x:c r="C224" s="133" t="str">
        <x:v>Ordinary Time</x:v>
      </x:c>
      <x:c r="D224" s="41" t="str">
        <x:v>Saint John Vianney</x:v>
      </x:c>
      <x:c r="E224" s="41" t="str">
        <x:v>Memorial</x:v>
      </x:c>
      <x:c r="F224" s="41" t="str">
        <x:v>Vol. IV — Ordinary Time</x:v>
      </x:c>
      <x:c r="G224" s="42" t="str">
        <x:v>Psalter Week II (OT Week 18)</x:v>
      </x:c>
      <x:c r="H224" s="42" t="str">
        <x:v>Psalter Week II (OT Week 18); Proper of Saints for the saint's proper reading/prayer; Common where directed.</x:v>
      </x:c>
      <x:c r="I224" s="42" t="str">
        <x:v>Psalter Week II (OT Week 18); Morning Prayer with Proper of Saints/Common elements as directed.</x:v>
      </x:c>
      <x:c r="J224" s="42" t="str">
        <x:v>Psalter Week II (OT Week 18); Daytime Prayer of the season; use the memorial's concluding prayer where directed.</x:v>
      </x:c>
      <x:c r="K224" s="42" t="str">
        <x:v>Psalter Week II (OT Week 18); Evening Prayer with Proper of Saints/Common elements as directed.</x:v>
      </x:c>
      <x:c r="L224" s="42" t="str">
        <x:v>Night Prayer for Tuesday.</x:v>
      </x:c>
      <x:c r="M22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25">
      <x:c r="A225" s="40" t="n">
        <x:v>46239</x:v>
      </x:c>
      <x:c r="B225" s="41" t="str">
        <x:v>Wednesday</x:v>
      </x:c>
      <x:c r="C225" s="133" t="str">
        <x:v>Ordinary Time</x:v>
      </x:c>
      <x:c r="D225" s="41" t="str">
        <x:v>Weekday in Ordinary Time</x:v>
      </x:c>
      <x:c r="E225" s="41" t="str">
        <x:v>Weekday</x:v>
      </x:c>
      <x:c r="F225" s="41" t="str">
        <x:v>Vol. IV — Ordinary Time</x:v>
      </x:c>
      <x:c r="G225" s="42" t="str">
        <x:v>Psalter Week II (OT Week 18)</x:v>
      </x:c>
      <x:c r="H225" s="42" t="str">
        <x:v>Proper of Seasons + Psalter Week II (OT Week 18); weekday Office of Readings. Optional memorial may be inserted from the Proper of Saints if chosen.</x:v>
      </x:c>
      <x:c r="I225" s="42" t="str">
        <x:v>Proper of Seasons + Psalter Week II (OT Week 18); weekday Morning Prayer. Optional memorial may be inserted from the Proper of Saints if chosen.</x:v>
      </x:c>
      <x:c r="J225" s="42" t="str">
        <x:v>Proper of Seasons + Psalter Week II (OT Week 18); choose Midmorning, Midday, or Midafternoon Prayer.</x:v>
      </x:c>
      <x:c r="K225" s="42" t="str">
        <x:v>Proper of Seasons + Psalter Week II (OT Week 18); weekday Evening Prayer. Optional memorial may be inserted from the Proper of Saints if chosen.</x:v>
      </x:c>
      <x:c r="L225" s="42" t="str">
        <x:v>Night Prayer for Wednesday.</x:v>
      </x:c>
      <x:c r="M22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26">
      <x:c r="A226" s="40" t="n">
        <x:v>46240</x:v>
      </x:c>
      <x:c r="B226" s="41" t="str">
        <x:v>Thursday</x:v>
      </x:c>
      <x:c r="C226" s="133" t="str">
        <x:v>Ordinary Time</x:v>
      </x:c>
      <x:c r="D226" s="131" t="str">
        <x:v>Transfiguration of the Lord</x:v>
      </x:c>
      <x:c r="E226" s="131" t="str">
        <x:v>Feast</x:v>
      </x:c>
      <x:c r="F226" s="131" t="str">
        <x:v>Vol. IV — Ordinary Time</x:v>
      </x:c>
      <x:c r="G226" s="132" t="str">
        <x:v>Proper / Common</x:v>
      </x:c>
      <x:c r="H226" s="42" t="str">
        <x:v>Proper of Seasons/Saints → Feast; use Common where directed.</x:v>
      </x:c>
      <x:c r="I226" s="42" t="str">
        <x:v>Proper of the Feast/Common as directed; use feast psalmody where provided.</x:v>
      </x:c>
      <x:c r="J226" s="42" t="str">
        <x:v>Proper / Common; Daytime Prayer of the season, with the feast's proper elements where directed.</x:v>
      </x:c>
      <x:c r="K226" s="42" t="str">
        <x:v>Proper of the Feast/Common as directed for Evening Prayer.</x:v>
      </x:c>
      <x:c r="L226" s="42" t="str">
        <x:v>Night Prayer for Thursday.</x:v>
      </x:c>
      <x:c r="M226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27">
      <x:c r="A227" s="40" t="n">
        <x:v>46241</x:v>
      </x:c>
      <x:c r="B227" s="41" t="str">
        <x:v>Friday</x:v>
      </x:c>
      <x:c r="C227" s="133" t="str">
        <x:v>Ordinary Time</x:v>
      </x:c>
      <x:c r="D227" s="41" t="str">
        <x:v>Weekday in Ordinary Time</x:v>
      </x:c>
      <x:c r="E227" s="41" t="str">
        <x:v>Weekday</x:v>
      </x:c>
      <x:c r="F227" s="41" t="str">
        <x:v>Vol. IV — Ordinary Time</x:v>
      </x:c>
      <x:c r="G227" s="42" t="str">
        <x:v>Psalter Week II (OT Week 18)</x:v>
      </x:c>
      <x:c r="H227" s="42" t="str">
        <x:v>Proper of Seasons + Psalter Week II (OT Week 18); weekday Office of Readings. Optional memorial may be inserted from the Proper of Saints if chosen.</x:v>
      </x:c>
      <x:c r="I227" s="42" t="str">
        <x:v>Proper of Seasons + Psalter Week II (OT Week 18); weekday Morning Prayer. Optional memorial may be inserted from the Proper of Saints if chosen.</x:v>
      </x:c>
      <x:c r="J227" s="42" t="str">
        <x:v>Proper of Seasons + Psalter Week II (OT Week 18); choose Midmorning, Midday, or Midafternoon Prayer.</x:v>
      </x:c>
      <x:c r="K227" s="42" t="str">
        <x:v>Proper of Seasons + Psalter Week II (OT Week 18); weekday Evening Prayer. Optional memorial may be inserted from the Proper of Saints if chosen.</x:v>
      </x:c>
      <x:c r="L227" s="42" t="str">
        <x:v>Night Prayer for Friday.</x:v>
      </x:c>
      <x:c r="M22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28">
      <x:c r="A228" s="40" t="n">
        <x:v>46242</x:v>
      </x:c>
      <x:c r="B228" s="41" t="str">
        <x:v>Saturday</x:v>
      </x:c>
      <x:c r="C228" s="133" t="str">
        <x:v>Ordinary Time</x:v>
      </x:c>
      <x:c r="D228" s="41" t="str">
        <x:v>Saint Dominic</x:v>
      </x:c>
      <x:c r="E228" s="41" t="str">
        <x:v>Memorial</x:v>
      </x:c>
      <x:c r="F228" s="41" t="str">
        <x:v>Vol. IV — Ordinary Time</x:v>
      </x:c>
      <x:c r="G228" s="42" t="str">
        <x:v>Psalter Week II (OT Week 18)</x:v>
      </x:c>
      <x:c r="H228" s="42" t="str">
        <x:v>Psalter Week II (OT Week 18); Proper of Saints for the saint's proper reading/prayer; Common where directed.</x:v>
      </x:c>
      <x:c r="I228" s="42" t="str">
        <x:v>Psalter Week II (OT Week 18); Morning Prayer with Proper of Saints/Common elements as directed.</x:v>
      </x:c>
      <x:c r="J228" s="42" t="str">
        <x:v>Psalter Week II (OT Week 18); Daytime Prayer of the season; use the memorial's concluding prayer where directed.</x:v>
      </x:c>
      <x:c r="K228" s="42" t="str">
        <x:v>First Vespers of Sunday: Nineteenth Sunday in Ordinary Time — Proper of Seasons + tomorrow's Psalter week.</x:v>
      </x:c>
      <x:c r="L228" s="42" t="str">
        <x:v>Night Prayer I of Sunday after First Vespers.</x:v>
      </x:c>
      <x:c r="M228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29">
      <x:c r="A229" s="40" t="n">
        <x:v>46243</x:v>
      </x:c>
      <x:c r="B229" s="41" t="str">
        <x:v>Sunday</x:v>
      </x:c>
      <x:c r="C229" s="133" t="str">
        <x:v>Ordinary Time</x:v>
      </x:c>
      <x:c r="D229" s="41" t="str">
        <x:v>Nineteenth Sunday in Ordinary Time</x:v>
      </x:c>
      <x:c r="E229" s="41" t="str">
        <x:v>Sunday</x:v>
      </x:c>
      <x:c r="F229" s="41" t="str">
        <x:v>Vol. IV — Ordinary Time</x:v>
      </x:c>
      <x:c r="G229" s="42" t="str">
        <x:v>Psalter Week III (OT Week 19)</x:v>
      </x:c>
      <x:c r="H229" s="42" t="str">
        <x:v>Proper of Seasons + Psalter Week III (OT Week 19); Office of Readings for Sunday.</x:v>
      </x:c>
      <x:c r="I229" s="42" t="str">
        <x:v>Proper of Seasons + Psalter Week III (OT Week 19); Morning Prayer for Sunday.</x:v>
      </x:c>
      <x:c r="J229" s="42" t="str">
        <x:v>Psalter Week III (OT Week 19); Sunday Daytime Prayer + seasonal proper.</x:v>
      </x:c>
      <x:c r="K229" s="42" t="str">
        <x:v>Evening Prayer II of Sunday — Proper of Seasons + Psalter Week III (OT Week 19).</x:v>
      </x:c>
      <x:c r="L229" s="42" t="str">
        <x:v>Night Prayer II of Sunday.</x:v>
      </x:c>
      <x:c r="M229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30">
      <x:c r="A230" s="40" t="n">
        <x:v>46244</x:v>
      </x:c>
      <x:c r="B230" s="41" t="str">
        <x:v>Monday</x:v>
      </x:c>
      <x:c r="C230" s="133" t="str">
        <x:v>Ordinary Time</x:v>
      </x:c>
      <x:c r="D230" s="131" t="str">
        <x:v>Saint Lawrence</x:v>
      </x:c>
      <x:c r="E230" s="131" t="str">
        <x:v>Feast</x:v>
      </x:c>
      <x:c r="F230" s="131" t="str">
        <x:v>Vol. IV — Ordinary Time</x:v>
      </x:c>
      <x:c r="G230" s="132" t="str">
        <x:v>Proper / Common</x:v>
      </x:c>
      <x:c r="H230" s="42" t="str">
        <x:v>Proper of Seasons/Saints → Feast; use Common where directed.</x:v>
      </x:c>
      <x:c r="I230" s="42" t="str">
        <x:v>Proper of the Feast/Common as directed; use feast psalmody where provided.</x:v>
      </x:c>
      <x:c r="J230" s="42" t="str">
        <x:v>Proper / Common; Daytime Prayer of the season, with the feast's proper elements where directed.</x:v>
      </x:c>
      <x:c r="K230" s="42" t="str">
        <x:v>Proper of the Feast/Common as directed for Evening Prayer.</x:v>
      </x:c>
      <x:c r="L230" s="42" t="str">
        <x:v>Night Prayer for Monday.</x:v>
      </x:c>
      <x:c r="M230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31">
      <x:c r="A231" s="40" t="n">
        <x:v>46245</x:v>
      </x:c>
      <x:c r="B231" s="41" t="str">
        <x:v>Tuesday</x:v>
      </x:c>
      <x:c r="C231" s="133" t="str">
        <x:v>Ordinary Time</x:v>
      </x:c>
      <x:c r="D231" s="41" t="str">
        <x:v>Saint Clare</x:v>
      </x:c>
      <x:c r="E231" s="41" t="str">
        <x:v>Memorial</x:v>
      </x:c>
      <x:c r="F231" s="41" t="str">
        <x:v>Vol. IV — Ordinary Time</x:v>
      </x:c>
      <x:c r="G231" s="42" t="str">
        <x:v>Psalter Week III (OT Week 19)</x:v>
      </x:c>
      <x:c r="H231" s="42" t="str">
        <x:v>Psalter Week III (OT Week 19); Proper of Saints for the saint's proper reading/prayer; Common where directed.</x:v>
      </x:c>
      <x:c r="I231" s="42" t="str">
        <x:v>Psalter Week III (OT Week 19); Morning Prayer with Proper of Saints/Common elements as directed.</x:v>
      </x:c>
      <x:c r="J231" s="42" t="str">
        <x:v>Psalter Week III (OT Week 19); Daytime Prayer of the season; use the memorial's concluding prayer where directed.</x:v>
      </x:c>
      <x:c r="K231" s="42" t="str">
        <x:v>Psalter Week III (OT Week 19); Evening Prayer with Proper of Saints/Common elements as directed.</x:v>
      </x:c>
      <x:c r="L231" s="42" t="str">
        <x:v>Night Prayer for Tuesday.</x:v>
      </x:c>
      <x:c r="M231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32">
      <x:c r="A232" s="40" t="n">
        <x:v>46246</x:v>
      </x:c>
      <x:c r="B232" s="41" t="str">
        <x:v>Wednesday</x:v>
      </x:c>
      <x:c r="C232" s="133" t="str">
        <x:v>Ordinary Time</x:v>
      </x:c>
      <x:c r="D232" s="41" t="str">
        <x:v>Weekday in Ordinary Time</x:v>
      </x:c>
      <x:c r="E232" s="41" t="str">
        <x:v>Weekday</x:v>
      </x:c>
      <x:c r="F232" s="41" t="str">
        <x:v>Vol. IV — Ordinary Time</x:v>
      </x:c>
      <x:c r="G232" s="42" t="str">
        <x:v>Psalter Week III (OT Week 19)</x:v>
      </x:c>
      <x:c r="H232" s="42" t="str">
        <x:v>Proper of Seasons + Psalter Week III (OT Week 19); weekday Office of Readings. Optional memorial may be inserted from the Proper of Saints if chosen.</x:v>
      </x:c>
      <x:c r="I232" s="42" t="str">
        <x:v>Proper of Seasons + Psalter Week III (OT Week 19); weekday Morning Prayer. Optional memorial may be inserted from the Proper of Saints if chosen.</x:v>
      </x:c>
      <x:c r="J232" s="42" t="str">
        <x:v>Proper of Seasons + Psalter Week III (OT Week 19); choose Midmorning, Midday, or Midafternoon Prayer.</x:v>
      </x:c>
      <x:c r="K232" s="42" t="str">
        <x:v>Proper of Seasons + Psalter Week III (OT Week 19); weekday Evening Prayer. Optional memorial may be inserted from the Proper of Saints if chosen.</x:v>
      </x:c>
      <x:c r="L232" s="42" t="str">
        <x:v>Night Prayer for Wednesday.</x:v>
      </x:c>
      <x:c r="M23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33">
      <x:c r="A233" s="40" t="n">
        <x:v>46247</x:v>
      </x:c>
      <x:c r="B233" s="41" t="str">
        <x:v>Thursday</x:v>
      </x:c>
      <x:c r="C233" s="133" t="str">
        <x:v>Ordinary Time</x:v>
      </x:c>
      <x:c r="D233" s="41" t="str">
        <x:v>Weekday in Ordinary Time</x:v>
      </x:c>
      <x:c r="E233" s="41" t="str">
        <x:v>Weekday</x:v>
      </x:c>
      <x:c r="F233" s="41" t="str">
        <x:v>Vol. IV — Ordinary Time</x:v>
      </x:c>
      <x:c r="G233" s="42" t="str">
        <x:v>Psalter Week III (OT Week 19)</x:v>
      </x:c>
      <x:c r="H233" s="42" t="str">
        <x:v>Proper of Seasons + Psalter Week III (OT Week 19); weekday Office of Readings. Optional memorial may be inserted from the Proper of Saints if chosen.</x:v>
      </x:c>
      <x:c r="I233" s="42" t="str">
        <x:v>Proper of Seasons + Psalter Week III (OT Week 19); weekday Morning Prayer. Optional memorial may be inserted from the Proper of Saints if chosen.</x:v>
      </x:c>
      <x:c r="J233" s="42" t="str">
        <x:v>Proper of Seasons + Psalter Week III (OT Week 19); choose Midmorning, Midday, or Midafternoon Prayer.</x:v>
      </x:c>
      <x:c r="K233" s="42" t="str">
        <x:v>Proper of Seasons + Psalter Week III (OT Week 19); weekday Evening Prayer. Optional memorial may be inserted from the Proper of Saints if chosen.</x:v>
      </x:c>
      <x:c r="L233" s="42" t="str">
        <x:v>Night Prayer for Thursday.</x:v>
      </x:c>
      <x:c r="M23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34">
      <x:c r="A234" s="40" t="n">
        <x:v>46248</x:v>
      </x:c>
      <x:c r="B234" s="41" t="str">
        <x:v>Friday</x:v>
      </x:c>
      <x:c r="C234" s="133" t="str">
        <x:v>Ordinary Time</x:v>
      </x:c>
      <x:c r="D234" s="41" t="str">
        <x:v>Saint Maximilian Kolbe</x:v>
      </x:c>
      <x:c r="E234" s="41" t="str">
        <x:v>Memorial</x:v>
      </x:c>
      <x:c r="F234" s="41" t="str">
        <x:v>Vol. IV — Ordinary Time</x:v>
      </x:c>
      <x:c r="G234" s="42" t="str">
        <x:v>Psalter Week III (OT Week 19)</x:v>
      </x:c>
      <x:c r="H234" s="42" t="str">
        <x:v>Psalter Week III (OT Week 19); Proper of Saints for the saint's proper reading/prayer; Common where directed.</x:v>
      </x:c>
      <x:c r="I234" s="42" t="str">
        <x:v>Psalter Week III (OT Week 19); Morning Prayer with Proper of Saints/Common elements as directed.</x:v>
      </x:c>
      <x:c r="J234" s="42" t="str">
        <x:v>Psalter Week III (OT Week 19); Daytime Prayer of the season; use the memorial's concluding prayer where directed.</x:v>
      </x:c>
      <x:c r="K234" s="42" t="str">
        <x:v>First Vespers of tomorrow's solemnity: Assumption of the Blessed Virgin Mary — Proper/Common as directed.</x:v>
      </x:c>
      <x:c r="L234" s="42" t="str">
        <x:v>Night Prayer I of Sunday/Solemnity after First Vespers.</x:v>
      </x:c>
      <x:c r="M234" s="42" t="str">
        <x:v>On a memorial, weekday psalmody ordinarily remains unless proper psalmody is provided; the Proper of Saints directs what is replaced. This evening is governed by tomorrow's solemnity.
https://www.usccb.org/resources/2026cal.pdf
https://www.usccb.org/prayer-and-worship/liturgy-of-the-hours</x:v>
      </x:c>
    </x:row>
    <x:row r="235">
      <x:c r="A235" s="40" t="n">
        <x:v>46249</x:v>
      </x:c>
      <x:c r="B235" s="41" t="str">
        <x:v>Saturday</x:v>
      </x:c>
      <x:c r="C235" s="133" t="str">
        <x:v>Ordinary Time</x:v>
      </x:c>
      <x:c r="D235" s="131" t="str">
        <x:v>Assumption of the Blessed Virgin Mary</x:v>
      </x:c>
      <x:c r="E235" s="131" t="str">
        <x:v>Solemnity</x:v>
      </x:c>
      <x:c r="F235" s="131" t="str">
        <x:v>Vol. IV — Ordinary Time</x:v>
      </x:c>
      <x:c r="G235" s="132" t="str">
        <x:v>Proper / Common</x:v>
      </x:c>
      <x:c r="H235" s="42" t="str">
        <x:v>Proper of Seasons/Saints → Solemnity; use Common only where the proper directs.</x:v>
      </x:c>
      <x:c r="I235" s="42" t="str">
        <x:v>Proper of Seasons/Saints → Morning Prayer of the solemnity.</x:v>
      </x:c>
      <x:c r="J235" s="42" t="str">
        <x:v>Daytime Prayer of the solemnity; use complementary psalmody if the rubric directs.</x:v>
      </x:c>
      <x:c r="K235" s="42" t="str">
        <x:v>First Vespers of Sunday: Twentieth Sunday in Ordinary Time — Proper of Seasons + tomorrow's Psalter week.</x:v>
      </x:c>
      <x:c r="L235" s="42" t="str">
        <x:v>Night Prayer I of Sunday after First Vespers.</x:v>
      </x:c>
      <x:c r="M235" s="42" t="str">
        <x:v>Solemnities normally begin with First Vespers on the preceding evening.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36">
      <x:c r="A236" s="40" t="n">
        <x:v>46250</x:v>
      </x:c>
      <x:c r="B236" s="41" t="str">
        <x:v>Sunday</x:v>
      </x:c>
      <x:c r="C236" s="133" t="str">
        <x:v>Ordinary Time</x:v>
      </x:c>
      <x:c r="D236" s="41" t="str">
        <x:v>Twentieth Sunday in Ordinary Time</x:v>
      </x:c>
      <x:c r="E236" s="41" t="str">
        <x:v>Sunday</x:v>
      </x:c>
      <x:c r="F236" s="41" t="str">
        <x:v>Vol. IV — Ordinary Time</x:v>
      </x:c>
      <x:c r="G236" s="42" t="str">
        <x:v>Psalter Week IV (OT Week 20)</x:v>
      </x:c>
      <x:c r="H236" s="42" t="str">
        <x:v>Proper of Seasons + Psalter Week IV (OT Week 20); Office of Readings for Sunday.</x:v>
      </x:c>
      <x:c r="I236" s="42" t="str">
        <x:v>Proper of Seasons + Psalter Week IV (OT Week 20); Morning Prayer for Sunday.</x:v>
      </x:c>
      <x:c r="J236" s="42" t="str">
        <x:v>Psalter Week IV (OT Week 20); Sunday Daytime Prayer + seasonal proper.</x:v>
      </x:c>
      <x:c r="K236" s="42" t="str">
        <x:v>Evening Prayer II of Sunday — Proper of Seasons + Psalter Week IV (OT Week 20).</x:v>
      </x:c>
      <x:c r="L236" s="42" t="str">
        <x:v>Night Prayer II of Sunday.</x:v>
      </x:c>
      <x:c r="M236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37">
      <x:c r="A237" s="40" t="n">
        <x:v>46251</x:v>
      </x:c>
      <x:c r="B237" s="41" t="str">
        <x:v>Monday</x:v>
      </x:c>
      <x:c r="C237" s="133" t="str">
        <x:v>Ordinary Time</x:v>
      </x:c>
      <x:c r="D237" s="41" t="str">
        <x:v>Weekday in Ordinary Time</x:v>
      </x:c>
      <x:c r="E237" s="41" t="str">
        <x:v>Weekday</x:v>
      </x:c>
      <x:c r="F237" s="41" t="str">
        <x:v>Vol. IV — Ordinary Time</x:v>
      </x:c>
      <x:c r="G237" s="42" t="str">
        <x:v>Psalter Week IV (OT Week 20)</x:v>
      </x:c>
      <x:c r="H237" s="42" t="str">
        <x:v>Proper of Seasons + Psalter Week IV (OT Week 20); weekday Office of Readings.</x:v>
      </x:c>
      <x:c r="I237" s="42" t="str">
        <x:v>Proper of Seasons + Psalter Week IV (OT Week 20); weekday Morning Prayer.</x:v>
      </x:c>
      <x:c r="J237" s="42" t="str">
        <x:v>Proper of Seasons + Psalter Week IV (OT Week 20); choose Midmorning, Midday, or Midafternoon Prayer.</x:v>
      </x:c>
      <x:c r="K237" s="42" t="str">
        <x:v>Proper of Seasons + Psalter Week IV (OT Week 20); weekday Evening Prayer.</x:v>
      </x:c>
      <x:c r="L237" s="42" t="str">
        <x:v>Night Prayer for Monday.</x:v>
      </x:c>
      <x:c r="M23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38">
      <x:c r="A238" s="40" t="n">
        <x:v>46252</x:v>
      </x:c>
      <x:c r="B238" s="41" t="str">
        <x:v>Tuesday</x:v>
      </x:c>
      <x:c r="C238" s="133" t="str">
        <x:v>Ordinary Time</x:v>
      </x:c>
      <x:c r="D238" s="41" t="str">
        <x:v>Weekday in Ordinary Time</x:v>
      </x:c>
      <x:c r="E238" s="41" t="str">
        <x:v>Weekday</x:v>
      </x:c>
      <x:c r="F238" s="41" t="str">
        <x:v>Vol. IV — Ordinary Time</x:v>
      </x:c>
      <x:c r="G238" s="42" t="str">
        <x:v>Psalter Week IV (OT Week 20)</x:v>
      </x:c>
      <x:c r="H238" s="42" t="str">
        <x:v>Proper of Seasons + Psalter Week IV (OT Week 20); weekday Office of Readings.</x:v>
      </x:c>
      <x:c r="I238" s="42" t="str">
        <x:v>Proper of Seasons + Psalter Week IV (OT Week 20); weekday Morning Prayer.</x:v>
      </x:c>
      <x:c r="J238" s="42" t="str">
        <x:v>Proper of Seasons + Psalter Week IV (OT Week 20); choose Midmorning, Midday, or Midafternoon Prayer.</x:v>
      </x:c>
      <x:c r="K238" s="42" t="str">
        <x:v>Proper of Seasons + Psalter Week IV (OT Week 20); weekday Evening Prayer.</x:v>
      </x:c>
      <x:c r="L238" s="42" t="str">
        <x:v>Night Prayer for Tuesday.</x:v>
      </x:c>
      <x:c r="M23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39">
      <x:c r="A239" s="40" t="n">
        <x:v>46253</x:v>
      </x:c>
      <x:c r="B239" s="41" t="str">
        <x:v>Wednesday</x:v>
      </x:c>
      <x:c r="C239" s="133" t="str">
        <x:v>Ordinary Time</x:v>
      </x:c>
      <x:c r="D239" s="41" t="str">
        <x:v>Weekday in Ordinary Time</x:v>
      </x:c>
      <x:c r="E239" s="41" t="str">
        <x:v>Weekday</x:v>
      </x:c>
      <x:c r="F239" s="41" t="str">
        <x:v>Vol. IV — Ordinary Time</x:v>
      </x:c>
      <x:c r="G239" s="42" t="str">
        <x:v>Psalter Week IV (OT Week 20)</x:v>
      </x:c>
      <x:c r="H239" s="42" t="str">
        <x:v>Proper of Seasons + Psalter Week IV (OT Week 20); weekday Office of Readings. Optional memorial may be inserted from the Proper of Saints if chosen.</x:v>
      </x:c>
      <x:c r="I239" s="42" t="str">
        <x:v>Proper of Seasons + Psalter Week IV (OT Week 20); weekday Morning Prayer. Optional memorial may be inserted from the Proper of Saints if chosen.</x:v>
      </x:c>
      <x:c r="J239" s="42" t="str">
        <x:v>Proper of Seasons + Psalter Week IV (OT Week 20); choose Midmorning, Midday, or Midafternoon Prayer.</x:v>
      </x:c>
      <x:c r="K239" s="42" t="str">
        <x:v>Proper of Seasons + Psalter Week IV (OT Week 20); weekday Evening Prayer. Optional memorial may be inserted from the Proper of Saints if chosen.</x:v>
      </x:c>
      <x:c r="L239" s="42" t="str">
        <x:v>Night Prayer for Wednesday.</x:v>
      </x:c>
      <x:c r="M23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40">
      <x:c r="A240" s="40" t="n">
        <x:v>46254</x:v>
      </x:c>
      <x:c r="B240" s="41" t="str">
        <x:v>Thursday</x:v>
      </x:c>
      <x:c r="C240" s="133" t="str">
        <x:v>Ordinary Time</x:v>
      </x:c>
      <x:c r="D240" s="41" t="str">
        <x:v>Saint Bernard</x:v>
      </x:c>
      <x:c r="E240" s="41" t="str">
        <x:v>Memorial</x:v>
      </x:c>
      <x:c r="F240" s="41" t="str">
        <x:v>Vol. IV — Ordinary Time</x:v>
      </x:c>
      <x:c r="G240" s="42" t="str">
        <x:v>Psalter Week IV (OT Week 20)</x:v>
      </x:c>
      <x:c r="H240" s="42" t="str">
        <x:v>Psalter Week IV (OT Week 20); Proper of Saints for the saint's proper reading/prayer; Common where directed.</x:v>
      </x:c>
      <x:c r="I240" s="42" t="str">
        <x:v>Psalter Week IV (OT Week 20); Morning Prayer with Proper of Saints/Common elements as directed.</x:v>
      </x:c>
      <x:c r="J240" s="42" t="str">
        <x:v>Psalter Week IV (OT Week 20); Daytime Prayer of the season; use the memorial's concluding prayer where directed.</x:v>
      </x:c>
      <x:c r="K240" s="42" t="str">
        <x:v>Psalter Week IV (OT Week 20); Evening Prayer with Proper of Saints/Common elements as directed.</x:v>
      </x:c>
      <x:c r="L240" s="42" t="str">
        <x:v>Night Prayer for Thursday.</x:v>
      </x:c>
      <x:c r="M240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41">
      <x:c r="A241" s="40" t="n">
        <x:v>46255</x:v>
      </x:c>
      <x:c r="B241" s="41" t="str">
        <x:v>Friday</x:v>
      </x:c>
      <x:c r="C241" s="133" t="str">
        <x:v>Ordinary Time</x:v>
      </x:c>
      <x:c r="D241" s="41" t="str">
        <x:v>Saint Pius X</x:v>
      </x:c>
      <x:c r="E241" s="41" t="str">
        <x:v>Memorial</x:v>
      </x:c>
      <x:c r="F241" s="41" t="str">
        <x:v>Vol. IV — Ordinary Time</x:v>
      </x:c>
      <x:c r="G241" s="42" t="str">
        <x:v>Psalter Week IV (OT Week 20)</x:v>
      </x:c>
      <x:c r="H241" s="42" t="str">
        <x:v>Psalter Week IV (OT Week 20); Proper of Saints for the saint's proper reading/prayer; Common where directed.</x:v>
      </x:c>
      <x:c r="I241" s="42" t="str">
        <x:v>Psalter Week IV (OT Week 20); Morning Prayer with Proper of Saints/Common elements as directed.</x:v>
      </x:c>
      <x:c r="J241" s="42" t="str">
        <x:v>Psalter Week IV (OT Week 20); Daytime Prayer of the season; use the memorial's concluding prayer where directed.</x:v>
      </x:c>
      <x:c r="K241" s="42" t="str">
        <x:v>Psalter Week IV (OT Week 20); Evening Prayer with Proper of Saints/Common elements as directed.</x:v>
      </x:c>
      <x:c r="L241" s="42" t="str">
        <x:v>Night Prayer for Friday.</x:v>
      </x:c>
      <x:c r="M241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42">
      <x:c r="A242" s="40" t="n">
        <x:v>46256</x:v>
      </x:c>
      <x:c r="B242" s="41" t="str">
        <x:v>Saturday</x:v>
      </x:c>
      <x:c r="C242" s="133" t="str">
        <x:v>Ordinary Time</x:v>
      </x:c>
      <x:c r="D242" s="41" t="str">
        <x:v>Queenship of the Blessed Virgin Mary</x:v>
      </x:c>
      <x:c r="E242" s="41" t="str">
        <x:v>Memorial</x:v>
      </x:c>
      <x:c r="F242" s="41" t="str">
        <x:v>Vol. IV — Ordinary Time</x:v>
      </x:c>
      <x:c r="G242" s="42" t="str">
        <x:v>Psalter Week IV (OT Week 20)</x:v>
      </x:c>
      <x:c r="H242" s="42" t="str">
        <x:v>Psalter Week IV (OT Week 20); Proper of Saints for the saint's proper reading/prayer; Common where directed.</x:v>
      </x:c>
      <x:c r="I242" s="42" t="str">
        <x:v>Psalter Week IV (OT Week 20); Morning Prayer with Proper of Saints/Common elements as directed.</x:v>
      </x:c>
      <x:c r="J242" s="42" t="str">
        <x:v>Psalter Week IV (OT Week 20); Daytime Prayer of the season; use the memorial's concluding prayer where directed.</x:v>
      </x:c>
      <x:c r="K242" s="42" t="str">
        <x:v>First Vespers of Sunday: Twenty-First Sunday in Ordinary Time — Proper of Seasons + tomorrow's Psalter week.</x:v>
      </x:c>
      <x:c r="L242" s="42" t="str">
        <x:v>Night Prayer I of Sunday after First Vespers.</x:v>
      </x:c>
      <x:c r="M242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43">
      <x:c r="A243" s="40" t="n">
        <x:v>46257</x:v>
      </x:c>
      <x:c r="B243" s="41" t="str">
        <x:v>Sunday</x:v>
      </x:c>
      <x:c r="C243" s="133" t="str">
        <x:v>Ordinary Time</x:v>
      </x:c>
      <x:c r="D243" s="41" t="str">
        <x:v>Twenty-First Sunday in Ordinary Time</x:v>
      </x:c>
      <x:c r="E243" s="41" t="str">
        <x:v>Sunday</x:v>
      </x:c>
      <x:c r="F243" s="41" t="str">
        <x:v>Vol. IV — Ordinary Time</x:v>
      </x:c>
      <x:c r="G243" s="42" t="str">
        <x:v>Psalter Week I (OT Week 21)</x:v>
      </x:c>
      <x:c r="H243" s="42" t="str">
        <x:v>Proper of Seasons + Psalter Week I (OT Week 21); Office of Readings for Sunday.</x:v>
      </x:c>
      <x:c r="I243" s="42" t="str">
        <x:v>Proper of Seasons + Psalter Week I (OT Week 21); Morning Prayer for Sunday.</x:v>
      </x:c>
      <x:c r="J243" s="42" t="str">
        <x:v>Psalter Week I (OT Week 21); Sunday Daytime Prayer + seasonal proper.</x:v>
      </x:c>
      <x:c r="K243" s="42" t="str">
        <x:v>Evening Prayer II of Sunday — Proper of Seasons + Psalter Week I (OT Week 21).</x:v>
      </x:c>
      <x:c r="L243" s="42" t="str">
        <x:v>Night Prayer II of Sunday.</x:v>
      </x:c>
      <x:c r="M243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44">
      <x:c r="A244" s="40" t="n">
        <x:v>46258</x:v>
      </x:c>
      <x:c r="B244" s="41" t="str">
        <x:v>Monday</x:v>
      </x:c>
      <x:c r="C244" s="133" t="str">
        <x:v>Ordinary Time</x:v>
      </x:c>
      <x:c r="D244" s="131" t="str">
        <x:v>Saint Bartholomew, Apostle</x:v>
      </x:c>
      <x:c r="E244" s="131" t="str">
        <x:v>Feast</x:v>
      </x:c>
      <x:c r="F244" s="131" t="str">
        <x:v>Vol. IV — Ordinary Time</x:v>
      </x:c>
      <x:c r="G244" s="132" t="str">
        <x:v>Proper / Common</x:v>
      </x:c>
      <x:c r="H244" s="42" t="str">
        <x:v>Proper of Seasons/Saints → Feast; use Common where directed.</x:v>
      </x:c>
      <x:c r="I244" s="42" t="str">
        <x:v>Proper of the Feast/Common as directed; use feast psalmody where provided.</x:v>
      </x:c>
      <x:c r="J244" s="42" t="str">
        <x:v>Proper / Common; Daytime Prayer of the season, with the feast's proper elements where directed.</x:v>
      </x:c>
      <x:c r="K244" s="42" t="str">
        <x:v>Proper of the Feast/Common as directed for Evening Prayer.</x:v>
      </x:c>
      <x:c r="L244" s="42" t="str">
        <x:v>Night Prayer for Monday.</x:v>
      </x:c>
      <x:c r="M244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45">
      <x:c r="A245" s="40" t="n">
        <x:v>46259</x:v>
      </x:c>
      <x:c r="B245" s="41" t="str">
        <x:v>Tuesday</x:v>
      </x:c>
      <x:c r="C245" s="133" t="str">
        <x:v>Ordinary Time</x:v>
      </x:c>
      <x:c r="D245" s="41" t="str">
        <x:v>Weekday in Ordinary Time</x:v>
      </x:c>
      <x:c r="E245" s="41" t="str">
        <x:v>Weekday</x:v>
      </x:c>
      <x:c r="F245" s="41" t="str">
        <x:v>Vol. IV — Ordinary Time</x:v>
      </x:c>
      <x:c r="G245" s="42" t="str">
        <x:v>Psalter Week I (OT Week 21)</x:v>
      </x:c>
      <x:c r="H245" s="42" t="str">
        <x:v>Proper of Seasons + Psalter Week I (OT Week 21); weekday Office of Readings. Optional memorial may be inserted from the Proper of Saints if chosen.</x:v>
      </x:c>
      <x:c r="I245" s="42" t="str">
        <x:v>Proper of Seasons + Psalter Week I (OT Week 21); weekday Morning Prayer. Optional memorial may be inserted from the Proper of Saints if chosen.</x:v>
      </x:c>
      <x:c r="J245" s="42" t="str">
        <x:v>Proper of Seasons + Psalter Week I (OT Week 21); choose Midmorning, Midday, or Midafternoon Prayer.</x:v>
      </x:c>
      <x:c r="K245" s="42" t="str">
        <x:v>Proper of Seasons + Psalter Week I (OT Week 21); weekday Evening Prayer. Optional memorial may be inserted from the Proper of Saints if chosen.</x:v>
      </x:c>
      <x:c r="L245" s="42" t="str">
        <x:v>Night Prayer for Tuesday.</x:v>
      </x:c>
      <x:c r="M24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46">
      <x:c r="A246" s="40" t="n">
        <x:v>46260</x:v>
      </x:c>
      <x:c r="B246" s="41" t="str">
        <x:v>Wednesday</x:v>
      </x:c>
      <x:c r="C246" s="133" t="str">
        <x:v>Ordinary Time</x:v>
      </x:c>
      <x:c r="D246" s="41" t="str">
        <x:v>Weekday in Ordinary Time</x:v>
      </x:c>
      <x:c r="E246" s="41" t="str">
        <x:v>Weekday</x:v>
      </x:c>
      <x:c r="F246" s="41" t="str">
        <x:v>Vol. IV — Ordinary Time</x:v>
      </x:c>
      <x:c r="G246" s="42" t="str">
        <x:v>Psalter Week I (OT Week 21)</x:v>
      </x:c>
      <x:c r="H246" s="42" t="str">
        <x:v>Proper of Seasons + Psalter Week I (OT Week 21); weekday Office of Readings.</x:v>
      </x:c>
      <x:c r="I246" s="42" t="str">
        <x:v>Proper of Seasons + Psalter Week I (OT Week 21); weekday Morning Prayer.</x:v>
      </x:c>
      <x:c r="J246" s="42" t="str">
        <x:v>Proper of Seasons + Psalter Week I (OT Week 21); choose Midmorning, Midday, or Midafternoon Prayer.</x:v>
      </x:c>
      <x:c r="K246" s="42" t="str">
        <x:v>Proper of Seasons + Psalter Week I (OT Week 21); weekday Evening Prayer.</x:v>
      </x:c>
      <x:c r="L246" s="42" t="str">
        <x:v>Night Prayer for Wednesday.</x:v>
      </x:c>
      <x:c r="M24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47">
      <x:c r="A247" s="40" t="n">
        <x:v>46261</x:v>
      </x:c>
      <x:c r="B247" s="41" t="str">
        <x:v>Thursday</x:v>
      </x:c>
      <x:c r="C247" s="133" t="str">
        <x:v>Ordinary Time</x:v>
      </x:c>
      <x:c r="D247" s="41" t="str">
        <x:v>Saint Monica</x:v>
      </x:c>
      <x:c r="E247" s="41" t="str">
        <x:v>Memorial</x:v>
      </x:c>
      <x:c r="F247" s="41" t="str">
        <x:v>Vol. IV — Ordinary Time</x:v>
      </x:c>
      <x:c r="G247" s="42" t="str">
        <x:v>Psalter Week I (OT Week 21)</x:v>
      </x:c>
      <x:c r="H247" s="42" t="str">
        <x:v>Psalter Week I (OT Week 21); Proper of Saints for the saint's proper reading/prayer; Common where directed.</x:v>
      </x:c>
      <x:c r="I247" s="42" t="str">
        <x:v>Psalter Week I (OT Week 21); Morning Prayer with Proper of Saints/Common elements as directed.</x:v>
      </x:c>
      <x:c r="J247" s="42" t="str">
        <x:v>Psalter Week I (OT Week 21); Daytime Prayer of the season; use the memorial's concluding prayer where directed.</x:v>
      </x:c>
      <x:c r="K247" s="42" t="str">
        <x:v>Psalter Week I (OT Week 21); Evening Prayer with Proper of Saints/Common elements as directed.</x:v>
      </x:c>
      <x:c r="L247" s="42" t="str">
        <x:v>Night Prayer for Thursday.</x:v>
      </x:c>
      <x:c r="M247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48">
      <x:c r="A248" s="40" t="n">
        <x:v>46262</x:v>
      </x:c>
      <x:c r="B248" s="41" t="str">
        <x:v>Friday</x:v>
      </x:c>
      <x:c r="C248" s="133" t="str">
        <x:v>Ordinary Time</x:v>
      </x:c>
      <x:c r="D248" s="41" t="str">
        <x:v>Saint Augustine</x:v>
      </x:c>
      <x:c r="E248" s="41" t="str">
        <x:v>Memorial</x:v>
      </x:c>
      <x:c r="F248" s="41" t="str">
        <x:v>Vol. IV — Ordinary Time</x:v>
      </x:c>
      <x:c r="G248" s="42" t="str">
        <x:v>Psalter Week I (OT Week 21)</x:v>
      </x:c>
      <x:c r="H248" s="42" t="str">
        <x:v>Psalter Week I (OT Week 21); Proper of Saints for the saint's proper reading/prayer; Common where directed.</x:v>
      </x:c>
      <x:c r="I248" s="42" t="str">
        <x:v>Psalter Week I (OT Week 21); Morning Prayer with Proper of Saints/Common elements as directed.</x:v>
      </x:c>
      <x:c r="J248" s="42" t="str">
        <x:v>Psalter Week I (OT Week 21); Daytime Prayer of the season; use the memorial's concluding prayer where directed.</x:v>
      </x:c>
      <x:c r="K248" s="42" t="str">
        <x:v>Psalter Week I (OT Week 21); Evening Prayer with Proper of Saints/Common elements as directed.</x:v>
      </x:c>
      <x:c r="L248" s="42" t="str">
        <x:v>Night Prayer for Friday.</x:v>
      </x:c>
      <x:c r="M248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49">
      <x:c r="A249" s="40" t="n">
        <x:v>46263</x:v>
      </x:c>
      <x:c r="B249" s="41" t="str">
        <x:v>Saturday</x:v>
      </x:c>
      <x:c r="C249" s="133" t="str">
        <x:v>Ordinary Time</x:v>
      </x:c>
      <x:c r="D249" s="41" t="str">
        <x:v>Passion of Saint John the Baptist</x:v>
      </x:c>
      <x:c r="E249" s="41" t="str">
        <x:v>Memorial</x:v>
      </x:c>
      <x:c r="F249" s="41" t="str">
        <x:v>Vol. IV — Ordinary Time</x:v>
      </x:c>
      <x:c r="G249" s="42" t="str">
        <x:v>Psalter Week I (OT Week 21)</x:v>
      </x:c>
      <x:c r="H249" s="42" t="str">
        <x:v>Psalter Week I (OT Week 21); Proper of Saints for the saint's proper reading/prayer; Common where directed.</x:v>
      </x:c>
      <x:c r="I249" s="42" t="str">
        <x:v>Psalter Week I (OT Week 21); Morning Prayer with Proper of Saints/Common elements as directed.</x:v>
      </x:c>
      <x:c r="J249" s="42" t="str">
        <x:v>Psalter Week I (OT Week 21); Daytime Prayer of the season; use the memorial's concluding prayer where directed.</x:v>
      </x:c>
      <x:c r="K249" s="42" t="str">
        <x:v>First Vespers of Sunday: Twenty-Second Sunday in Ordinary Time — Proper of Seasons + tomorrow's Psalter week.</x:v>
      </x:c>
      <x:c r="L249" s="42" t="str">
        <x:v>Night Prayer I of Sunday after First Vespers.</x:v>
      </x:c>
      <x:c r="M249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50">
      <x:c r="A250" s="40" t="n">
        <x:v>46264</x:v>
      </x:c>
      <x:c r="B250" s="41" t="str">
        <x:v>Sunday</x:v>
      </x:c>
      <x:c r="C250" s="133" t="str">
        <x:v>Ordinary Time</x:v>
      </x:c>
      <x:c r="D250" s="41" t="str">
        <x:v>Twenty-Second Sunday in Ordinary Time</x:v>
      </x:c>
      <x:c r="E250" s="41" t="str">
        <x:v>Sunday</x:v>
      </x:c>
      <x:c r="F250" s="41" t="str">
        <x:v>Vol. IV — Ordinary Time</x:v>
      </x:c>
      <x:c r="G250" s="42" t="str">
        <x:v>Psalter Week II (OT Week 22)</x:v>
      </x:c>
      <x:c r="H250" s="42" t="str">
        <x:v>Proper of Seasons + Psalter Week II (OT Week 22); Office of Readings for Sunday.</x:v>
      </x:c>
      <x:c r="I250" s="42" t="str">
        <x:v>Proper of Seasons + Psalter Week II (OT Week 22); Morning Prayer for Sunday.</x:v>
      </x:c>
      <x:c r="J250" s="42" t="str">
        <x:v>Psalter Week II (OT Week 22); Sunday Daytime Prayer + seasonal proper.</x:v>
      </x:c>
      <x:c r="K250" s="42" t="str">
        <x:v>Evening Prayer II of Sunday — Proper of Seasons + Psalter Week II (OT Week 22).</x:v>
      </x:c>
      <x:c r="L250" s="42" t="str">
        <x:v>Night Prayer II of Sunday.</x:v>
      </x:c>
      <x:c r="M250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51">
      <x:c r="A251" s="40" t="n">
        <x:v>46265</x:v>
      </x:c>
      <x:c r="B251" s="41" t="str">
        <x:v>Monday</x:v>
      </x:c>
      <x:c r="C251" s="133" t="str">
        <x:v>Ordinary Time</x:v>
      </x:c>
      <x:c r="D251" s="41" t="str">
        <x:v>Weekday in Ordinary Time</x:v>
      </x:c>
      <x:c r="E251" s="41" t="str">
        <x:v>Weekday</x:v>
      </x:c>
      <x:c r="F251" s="41" t="str">
        <x:v>Vol. IV — Ordinary Time</x:v>
      </x:c>
      <x:c r="G251" s="42" t="str">
        <x:v>Psalter Week II (OT Week 22)</x:v>
      </x:c>
      <x:c r="H251" s="42" t="str">
        <x:v>Proper of Seasons + Psalter Week II (OT Week 22); weekday Office of Readings.</x:v>
      </x:c>
      <x:c r="I251" s="42" t="str">
        <x:v>Proper of Seasons + Psalter Week II (OT Week 22); weekday Morning Prayer.</x:v>
      </x:c>
      <x:c r="J251" s="42" t="str">
        <x:v>Proper of Seasons + Psalter Week II (OT Week 22); choose Midmorning, Midday, or Midafternoon Prayer.</x:v>
      </x:c>
      <x:c r="K251" s="42" t="str">
        <x:v>Proper of Seasons + Psalter Week II (OT Week 22); weekday Evening Prayer.</x:v>
      </x:c>
      <x:c r="L251" s="42" t="str">
        <x:v>Night Prayer for Monday.</x:v>
      </x:c>
      <x:c r="M25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52">
      <x:c r="A252" s="40" t="n">
        <x:v>46266</x:v>
      </x:c>
      <x:c r="B252" s="41" t="str">
        <x:v>Tuesday</x:v>
      </x:c>
      <x:c r="C252" s="133" t="str">
        <x:v>Ordinary Time</x:v>
      </x:c>
      <x:c r="D252" s="41" t="str">
        <x:v>Weekday in Ordinary Time</x:v>
      </x:c>
      <x:c r="E252" s="41" t="str">
        <x:v>Weekday</x:v>
      </x:c>
      <x:c r="F252" s="41" t="str">
        <x:v>Vol. IV — Ordinary Time</x:v>
      </x:c>
      <x:c r="G252" s="42" t="str">
        <x:v>Psalter Week II (OT Week 22)</x:v>
      </x:c>
      <x:c r="H252" s="42" t="str">
        <x:v>Proper of Seasons + Psalter Week II (OT Week 22); weekday Office of Readings.</x:v>
      </x:c>
      <x:c r="I252" s="42" t="str">
        <x:v>Proper of Seasons + Psalter Week II (OT Week 22); weekday Morning Prayer.</x:v>
      </x:c>
      <x:c r="J252" s="42" t="str">
        <x:v>Proper of Seasons + Psalter Week II (OT Week 22); choose Midmorning, Midday, or Midafternoon Prayer.</x:v>
      </x:c>
      <x:c r="K252" s="42" t="str">
        <x:v>Proper of Seasons + Psalter Week II (OT Week 22); weekday Evening Prayer.</x:v>
      </x:c>
      <x:c r="L252" s="42" t="str">
        <x:v>Night Prayer for Tuesday.</x:v>
      </x:c>
      <x:c r="M25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53">
      <x:c r="A253" s="40" t="n">
        <x:v>46267</x:v>
      </x:c>
      <x:c r="B253" s="41" t="str">
        <x:v>Wednesday</x:v>
      </x:c>
      <x:c r="C253" s="133" t="str">
        <x:v>Ordinary Time</x:v>
      </x:c>
      <x:c r="D253" s="41" t="str">
        <x:v>Weekday in Ordinary Time</x:v>
      </x:c>
      <x:c r="E253" s="41" t="str">
        <x:v>Weekday</x:v>
      </x:c>
      <x:c r="F253" s="41" t="str">
        <x:v>Vol. IV — Ordinary Time</x:v>
      </x:c>
      <x:c r="G253" s="42" t="str">
        <x:v>Psalter Week II (OT Week 22)</x:v>
      </x:c>
      <x:c r="H253" s="42" t="str">
        <x:v>Proper of Seasons + Psalter Week II (OT Week 22); weekday Office of Readings.</x:v>
      </x:c>
      <x:c r="I253" s="42" t="str">
        <x:v>Proper of Seasons + Psalter Week II (OT Week 22); weekday Morning Prayer.</x:v>
      </x:c>
      <x:c r="J253" s="42" t="str">
        <x:v>Proper of Seasons + Psalter Week II (OT Week 22); choose Midmorning, Midday, or Midafternoon Prayer.</x:v>
      </x:c>
      <x:c r="K253" s="42" t="str">
        <x:v>Proper of Seasons + Psalter Week II (OT Week 22); weekday Evening Prayer.</x:v>
      </x:c>
      <x:c r="L253" s="42" t="str">
        <x:v>Night Prayer for Wednesday.</x:v>
      </x:c>
      <x:c r="M25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54">
      <x:c r="A254" s="40" t="n">
        <x:v>46268</x:v>
      </x:c>
      <x:c r="B254" s="41" t="str">
        <x:v>Thursday</x:v>
      </x:c>
      <x:c r="C254" s="133" t="str">
        <x:v>Ordinary Time</x:v>
      </x:c>
      <x:c r="D254" s="41" t="str">
        <x:v>Saint Gregory the Great</x:v>
      </x:c>
      <x:c r="E254" s="41" t="str">
        <x:v>Memorial</x:v>
      </x:c>
      <x:c r="F254" s="41" t="str">
        <x:v>Vol. IV — Ordinary Time</x:v>
      </x:c>
      <x:c r="G254" s="42" t="str">
        <x:v>Psalter Week II (OT Week 22)</x:v>
      </x:c>
      <x:c r="H254" s="42" t="str">
        <x:v>Psalter Week II (OT Week 22); Proper of Saints for the saint's proper reading/prayer; Common where directed.</x:v>
      </x:c>
      <x:c r="I254" s="42" t="str">
        <x:v>Psalter Week II (OT Week 22); Morning Prayer with Proper of Saints/Common elements as directed.</x:v>
      </x:c>
      <x:c r="J254" s="42" t="str">
        <x:v>Psalter Week II (OT Week 22); Daytime Prayer of the season; use the memorial's concluding prayer where directed.</x:v>
      </x:c>
      <x:c r="K254" s="42" t="str">
        <x:v>Psalter Week II (OT Week 22); Evening Prayer with Proper of Saints/Common elements as directed.</x:v>
      </x:c>
      <x:c r="L254" s="42" t="str">
        <x:v>Night Prayer for Thursday.</x:v>
      </x:c>
      <x:c r="M25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55">
      <x:c r="A255" s="40" t="n">
        <x:v>46269</x:v>
      </x:c>
      <x:c r="B255" s="41" t="str">
        <x:v>Friday</x:v>
      </x:c>
      <x:c r="C255" s="133" t="str">
        <x:v>Ordinary Time</x:v>
      </x:c>
      <x:c r="D255" s="41" t="str">
        <x:v>Weekday in Ordinary Time</x:v>
      </x:c>
      <x:c r="E255" s="41" t="str">
        <x:v>Weekday</x:v>
      </x:c>
      <x:c r="F255" s="41" t="str">
        <x:v>Vol. IV — Ordinary Time</x:v>
      </x:c>
      <x:c r="G255" s="42" t="str">
        <x:v>Psalter Week II (OT Week 22)</x:v>
      </x:c>
      <x:c r="H255" s="42" t="str">
        <x:v>Proper of Seasons + Psalter Week II (OT Week 22); weekday Office of Readings.</x:v>
      </x:c>
      <x:c r="I255" s="42" t="str">
        <x:v>Proper of Seasons + Psalter Week II (OT Week 22); weekday Morning Prayer.</x:v>
      </x:c>
      <x:c r="J255" s="42" t="str">
        <x:v>Proper of Seasons + Psalter Week II (OT Week 22); choose Midmorning, Midday, or Midafternoon Prayer.</x:v>
      </x:c>
      <x:c r="K255" s="42" t="str">
        <x:v>Proper of Seasons + Psalter Week II (OT Week 22); weekday Evening Prayer.</x:v>
      </x:c>
      <x:c r="L255" s="42" t="str">
        <x:v>Night Prayer for Friday.</x:v>
      </x:c>
      <x:c r="M25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56">
      <x:c r="A256" s="40" t="n">
        <x:v>46270</x:v>
      </x:c>
      <x:c r="B256" s="41" t="str">
        <x:v>Saturday</x:v>
      </x:c>
      <x:c r="C256" s="133" t="str">
        <x:v>Ordinary Time</x:v>
      </x:c>
      <x:c r="D256" s="41" t="str">
        <x:v>Weekday in Ordinary Time</x:v>
      </x:c>
      <x:c r="E256" s="41" t="str">
        <x:v>Weekday</x:v>
      </x:c>
      <x:c r="F256" s="41" t="str">
        <x:v>Vol. IV — Ordinary Time</x:v>
      </x:c>
      <x:c r="G256" s="42" t="str">
        <x:v>Psalter Week II (OT Week 22)</x:v>
      </x:c>
      <x:c r="H256" s="42" t="str">
        <x:v>Proper of Seasons + Psalter Week II (OT Week 22); weekday Office of Readings. Optional memorial may be inserted from the Proper of Saints if chosen.</x:v>
      </x:c>
      <x:c r="I256" s="42" t="str">
        <x:v>Proper of Seasons + Psalter Week II (OT Week 22); weekday Morning Prayer. Optional memorial may be inserted from the Proper of Saints if chosen.</x:v>
      </x:c>
      <x:c r="J256" s="42" t="str">
        <x:v>Proper of Seasons + Psalter Week II (OT Week 22); choose Midmorning, Midday, or Midafternoon Prayer.</x:v>
      </x:c>
      <x:c r="K256" s="42" t="str">
        <x:v>First Vespers of Sunday: Twenty-Third Sunday in Ordinary Time — Proper of Seasons + tomorrow's Psalter week.</x:v>
      </x:c>
      <x:c r="L256" s="42" t="str">
        <x:v>Night Prayer I of Sunday after First Vespers.</x:v>
      </x:c>
      <x:c r="M256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57">
      <x:c r="A257" s="40" t="n">
        <x:v>46271</x:v>
      </x:c>
      <x:c r="B257" s="41" t="str">
        <x:v>Sunday</x:v>
      </x:c>
      <x:c r="C257" s="133" t="str">
        <x:v>Ordinary Time</x:v>
      </x:c>
      <x:c r="D257" s="41" t="str">
        <x:v>Twenty-Third Sunday in Ordinary Time</x:v>
      </x:c>
      <x:c r="E257" s="41" t="str">
        <x:v>Sunday</x:v>
      </x:c>
      <x:c r="F257" s="41" t="str">
        <x:v>Vol. IV — Ordinary Time</x:v>
      </x:c>
      <x:c r="G257" s="42" t="str">
        <x:v>Psalter Week III (OT Week 23)</x:v>
      </x:c>
      <x:c r="H257" s="42" t="str">
        <x:v>Proper of Seasons + Psalter Week III (OT Week 23); Office of Readings for Sunday.</x:v>
      </x:c>
      <x:c r="I257" s="42" t="str">
        <x:v>Proper of Seasons + Psalter Week III (OT Week 23); Morning Prayer for Sunday.</x:v>
      </x:c>
      <x:c r="J257" s="42" t="str">
        <x:v>Psalter Week III (OT Week 23); Sunday Daytime Prayer + seasonal proper.</x:v>
      </x:c>
      <x:c r="K257" s="42" t="str">
        <x:v>Evening Prayer II of Sunday — Proper of Seasons + Psalter Week III (OT Week 23).</x:v>
      </x:c>
      <x:c r="L257" s="42" t="str">
        <x:v>Night Prayer II of Sunday.</x:v>
      </x:c>
      <x:c r="M257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58">
      <x:c r="A258" s="40" t="n">
        <x:v>46272</x:v>
      </x:c>
      <x:c r="B258" s="41" t="str">
        <x:v>Monday</x:v>
      </x:c>
      <x:c r="C258" s="133" t="str">
        <x:v>Ordinary Time</x:v>
      </x:c>
      <x:c r="D258" s="41" t="str">
        <x:v>Weekday in Ordinary Time</x:v>
      </x:c>
      <x:c r="E258" s="41" t="str">
        <x:v>Weekday</x:v>
      </x:c>
      <x:c r="F258" s="41" t="str">
        <x:v>Vol. IV — Ordinary Time</x:v>
      </x:c>
      <x:c r="G258" s="42" t="str">
        <x:v>Psalter Week III (OT Week 23)</x:v>
      </x:c>
      <x:c r="H258" s="42" t="str">
        <x:v>Proper of Seasons + Psalter Week III (OT Week 23); weekday Office of Readings.</x:v>
      </x:c>
      <x:c r="I258" s="42" t="str">
        <x:v>Proper of Seasons + Psalter Week III (OT Week 23); weekday Morning Prayer.</x:v>
      </x:c>
      <x:c r="J258" s="42" t="str">
        <x:v>Proper of Seasons + Psalter Week III (OT Week 23); choose Midmorning, Midday, or Midafternoon Prayer.</x:v>
      </x:c>
      <x:c r="K258" s="42" t="str">
        <x:v>Proper of Seasons + Psalter Week III (OT Week 23); weekday Evening Prayer.</x:v>
      </x:c>
      <x:c r="L258" s="42" t="str">
        <x:v>Night Prayer for Monday.</x:v>
      </x:c>
      <x:c r="M25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59">
      <x:c r="A259" s="40" t="n">
        <x:v>46273</x:v>
      </x:c>
      <x:c r="B259" s="41" t="str">
        <x:v>Tuesday</x:v>
      </x:c>
      <x:c r="C259" s="133" t="str">
        <x:v>Ordinary Time</x:v>
      </x:c>
      <x:c r="D259" s="131" t="str">
        <x:v>Nativity of the Blessed Virgin Mary</x:v>
      </x:c>
      <x:c r="E259" s="131" t="str">
        <x:v>Feast</x:v>
      </x:c>
      <x:c r="F259" s="131" t="str">
        <x:v>Vol. IV — Ordinary Time</x:v>
      </x:c>
      <x:c r="G259" s="132" t="str">
        <x:v>Proper / Common</x:v>
      </x:c>
      <x:c r="H259" s="42" t="str">
        <x:v>Proper of Seasons/Saints → Feast; use Common where directed.</x:v>
      </x:c>
      <x:c r="I259" s="42" t="str">
        <x:v>Proper of the Feast/Common as directed; use feast psalmody where provided.</x:v>
      </x:c>
      <x:c r="J259" s="42" t="str">
        <x:v>Proper / Common; Daytime Prayer of the season, with the feast's proper elements where directed.</x:v>
      </x:c>
      <x:c r="K259" s="42" t="str">
        <x:v>Proper of the Feast/Common as directed for Evening Prayer.</x:v>
      </x:c>
      <x:c r="L259" s="42" t="str">
        <x:v>Night Prayer for Tuesday.</x:v>
      </x:c>
      <x:c r="M259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60">
      <x:c r="A260" s="40" t="n">
        <x:v>46274</x:v>
      </x:c>
      <x:c r="B260" s="41" t="str">
        <x:v>Wednesday</x:v>
      </x:c>
      <x:c r="C260" s="133" t="str">
        <x:v>Ordinary Time</x:v>
      </x:c>
      <x:c r="D260" s="41" t="str">
        <x:v>Saint Peter Claver</x:v>
      </x:c>
      <x:c r="E260" s="41" t="str">
        <x:v>Memorial</x:v>
      </x:c>
      <x:c r="F260" s="41" t="str">
        <x:v>Vol. IV — Ordinary Time</x:v>
      </x:c>
      <x:c r="G260" s="42" t="str">
        <x:v>Psalter Week III (OT Week 23)</x:v>
      </x:c>
      <x:c r="H260" s="42" t="str">
        <x:v>Psalter Week III (OT Week 23); Proper of Saints for the saint's proper reading/prayer; Common where directed.</x:v>
      </x:c>
      <x:c r="I260" s="42" t="str">
        <x:v>Psalter Week III (OT Week 23); Morning Prayer with Proper of Saints/Common elements as directed.</x:v>
      </x:c>
      <x:c r="J260" s="42" t="str">
        <x:v>Psalter Week III (OT Week 23); Daytime Prayer of the season; use the memorial's concluding prayer where directed.</x:v>
      </x:c>
      <x:c r="K260" s="42" t="str">
        <x:v>Psalter Week III (OT Week 23); Evening Prayer with Proper of Saints/Common elements as directed.</x:v>
      </x:c>
      <x:c r="L260" s="42" t="str">
        <x:v>Night Prayer for Wednesday.</x:v>
      </x:c>
      <x:c r="M260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61">
      <x:c r="A261" s="40" t="n">
        <x:v>46275</x:v>
      </x:c>
      <x:c r="B261" s="41" t="str">
        <x:v>Thursday</x:v>
      </x:c>
      <x:c r="C261" s="133" t="str">
        <x:v>Ordinary Time</x:v>
      </x:c>
      <x:c r="D261" s="41" t="str">
        <x:v>Weekday in Ordinary Time</x:v>
      </x:c>
      <x:c r="E261" s="41" t="str">
        <x:v>Weekday</x:v>
      </x:c>
      <x:c r="F261" s="41" t="str">
        <x:v>Vol. IV — Ordinary Time</x:v>
      </x:c>
      <x:c r="G261" s="42" t="str">
        <x:v>Psalter Week III (OT Week 23)</x:v>
      </x:c>
      <x:c r="H261" s="42" t="str">
        <x:v>Proper of Seasons + Psalter Week III (OT Week 23); weekday Office of Readings.</x:v>
      </x:c>
      <x:c r="I261" s="42" t="str">
        <x:v>Proper of Seasons + Psalter Week III (OT Week 23); weekday Morning Prayer.</x:v>
      </x:c>
      <x:c r="J261" s="42" t="str">
        <x:v>Proper of Seasons + Psalter Week III (OT Week 23); choose Midmorning, Midday, or Midafternoon Prayer.</x:v>
      </x:c>
      <x:c r="K261" s="42" t="str">
        <x:v>Proper of Seasons + Psalter Week III (OT Week 23); weekday Evening Prayer.</x:v>
      </x:c>
      <x:c r="L261" s="42" t="str">
        <x:v>Night Prayer for Thursday.</x:v>
      </x:c>
      <x:c r="M26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62">
      <x:c r="A262" s="40" t="n">
        <x:v>46276</x:v>
      </x:c>
      <x:c r="B262" s="41" t="str">
        <x:v>Friday</x:v>
      </x:c>
      <x:c r="C262" s="133" t="str">
        <x:v>Ordinary Time</x:v>
      </x:c>
      <x:c r="D262" s="41" t="str">
        <x:v>Weekday in Ordinary Time</x:v>
      </x:c>
      <x:c r="E262" s="41" t="str">
        <x:v>Weekday</x:v>
      </x:c>
      <x:c r="F262" s="41" t="str">
        <x:v>Vol. IV — Ordinary Time</x:v>
      </x:c>
      <x:c r="G262" s="42" t="str">
        <x:v>Psalter Week III (OT Week 23)</x:v>
      </x:c>
      <x:c r="H262" s="42" t="str">
        <x:v>Proper of Seasons + Psalter Week III (OT Week 23); weekday Office of Readings.</x:v>
      </x:c>
      <x:c r="I262" s="42" t="str">
        <x:v>Proper of Seasons + Psalter Week III (OT Week 23); weekday Morning Prayer.</x:v>
      </x:c>
      <x:c r="J262" s="42" t="str">
        <x:v>Proper of Seasons + Psalter Week III (OT Week 23); choose Midmorning, Midday, or Midafternoon Prayer.</x:v>
      </x:c>
      <x:c r="K262" s="42" t="str">
        <x:v>Proper of Seasons + Psalter Week III (OT Week 23); weekday Evening Prayer.</x:v>
      </x:c>
      <x:c r="L262" s="42" t="str">
        <x:v>Night Prayer for Friday.</x:v>
      </x:c>
      <x:c r="M26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63">
      <x:c r="A263" s="40" t="n">
        <x:v>46277</x:v>
      </x:c>
      <x:c r="B263" s="41" t="str">
        <x:v>Saturday</x:v>
      </x:c>
      <x:c r="C263" s="133" t="str">
        <x:v>Ordinary Time</x:v>
      </x:c>
      <x:c r="D263" s="41" t="str">
        <x:v>Weekday in Ordinary Time</x:v>
      </x:c>
      <x:c r="E263" s="41" t="str">
        <x:v>Weekday</x:v>
      </x:c>
      <x:c r="F263" s="41" t="str">
        <x:v>Vol. IV — Ordinary Time</x:v>
      </x:c>
      <x:c r="G263" s="42" t="str">
        <x:v>Psalter Week III (OT Week 23)</x:v>
      </x:c>
      <x:c r="H263" s="42" t="str">
        <x:v>Proper of Seasons + Psalter Week III (OT Week 23); weekday Office of Readings. Optional memorial may be inserted from the Proper of Saints if chosen.</x:v>
      </x:c>
      <x:c r="I263" s="42" t="str">
        <x:v>Proper of Seasons + Psalter Week III (OT Week 23); weekday Morning Prayer. Optional memorial may be inserted from the Proper of Saints if chosen.</x:v>
      </x:c>
      <x:c r="J263" s="42" t="str">
        <x:v>Proper of Seasons + Psalter Week III (OT Week 23); choose Midmorning, Midday, or Midafternoon Prayer.</x:v>
      </x:c>
      <x:c r="K263" s="42" t="str">
        <x:v>First Vespers of Sunday: Twenty-Fourth Sunday in Ordinary Time — Proper of Seasons + tomorrow's Psalter week.</x:v>
      </x:c>
      <x:c r="L263" s="42" t="str">
        <x:v>Night Prayer I of Sunday after First Vespers.</x:v>
      </x:c>
      <x:c r="M263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64">
      <x:c r="A264" s="40" t="n">
        <x:v>46278</x:v>
      </x:c>
      <x:c r="B264" s="41" t="str">
        <x:v>Sunday</x:v>
      </x:c>
      <x:c r="C264" s="133" t="str">
        <x:v>Ordinary Time</x:v>
      </x:c>
      <x:c r="D264" s="41" t="str">
        <x:v>Twenty-Fourth Sunday in Ordinary Time</x:v>
      </x:c>
      <x:c r="E264" s="41" t="str">
        <x:v>Sunday</x:v>
      </x:c>
      <x:c r="F264" s="41" t="str">
        <x:v>Vol. IV — Ordinary Time</x:v>
      </x:c>
      <x:c r="G264" s="42" t="str">
        <x:v>Psalter Week IV (OT Week 24)</x:v>
      </x:c>
      <x:c r="H264" s="42" t="str">
        <x:v>Proper of Seasons + Psalter Week IV (OT Week 24); Office of Readings for Sunday.</x:v>
      </x:c>
      <x:c r="I264" s="42" t="str">
        <x:v>Proper of Seasons + Psalter Week IV (OT Week 24); Morning Prayer for Sunday.</x:v>
      </x:c>
      <x:c r="J264" s="42" t="str">
        <x:v>Psalter Week IV (OT Week 24); Sunday Daytime Prayer + seasonal proper.</x:v>
      </x:c>
      <x:c r="K264" s="42" t="str">
        <x:v>Evening Prayer II of Sunday — Proper of Seasons + Psalter Week IV (OT Week 24).</x:v>
      </x:c>
      <x:c r="L264" s="42" t="str">
        <x:v>Night Prayer II of Sunday.</x:v>
      </x:c>
      <x:c r="M264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65">
      <x:c r="A265" s="40" t="n">
        <x:v>46279</x:v>
      </x:c>
      <x:c r="B265" s="41" t="str">
        <x:v>Monday</x:v>
      </x:c>
      <x:c r="C265" s="133" t="str">
        <x:v>Ordinary Time</x:v>
      </x:c>
      <x:c r="D265" s="131" t="str">
        <x:v>Exaltation of the Holy Cross</x:v>
      </x:c>
      <x:c r="E265" s="131" t="str">
        <x:v>Feast</x:v>
      </x:c>
      <x:c r="F265" s="131" t="str">
        <x:v>Vol. IV — Ordinary Time</x:v>
      </x:c>
      <x:c r="G265" s="132" t="str">
        <x:v>Proper / Common</x:v>
      </x:c>
      <x:c r="H265" s="42" t="str">
        <x:v>Proper of Seasons/Saints → Feast; use Common where directed.</x:v>
      </x:c>
      <x:c r="I265" s="42" t="str">
        <x:v>Proper of the Feast/Common as directed; use feast psalmody where provided.</x:v>
      </x:c>
      <x:c r="J265" s="42" t="str">
        <x:v>Proper / Common; Daytime Prayer of the season, with the feast's proper elements where directed.</x:v>
      </x:c>
      <x:c r="K265" s="42" t="str">
        <x:v>Proper of the Feast/Common as directed for Evening Prayer.</x:v>
      </x:c>
      <x:c r="L265" s="42" t="str">
        <x:v>Night Prayer for Monday.</x:v>
      </x:c>
      <x:c r="M265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66">
      <x:c r="A266" s="40" t="n">
        <x:v>46280</x:v>
      </x:c>
      <x:c r="B266" s="41" t="str">
        <x:v>Tuesday</x:v>
      </x:c>
      <x:c r="C266" s="133" t="str">
        <x:v>Ordinary Time</x:v>
      </x:c>
      <x:c r="D266" s="41" t="str">
        <x:v>Our Lady of Sorrows</x:v>
      </x:c>
      <x:c r="E266" s="41" t="str">
        <x:v>Memorial</x:v>
      </x:c>
      <x:c r="F266" s="41" t="str">
        <x:v>Vol. IV — Ordinary Time</x:v>
      </x:c>
      <x:c r="G266" s="42" t="str">
        <x:v>Psalter Week IV (OT Week 24)</x:v>
      </x:c>
      <x:c r="H266" s="42" t="str">
        <x:v>Psalter Week IV (OT Week 24); Proper of Saints for the saint's proper reading/prayer; Common where directed.</x:v>
      </x:c>
      <x:c r="I266" s="42" t="str">
        <x:v>Psalter Week IV (OT Week 24); Morning Prayer with Proper of Saints/Common elements as directed.</x:v>
      </x:c>
      <x:c r="J266" s="42" t="str">
        <x:v>Psalter Week IV (OT Week 24); Daytime Prayer of the season; use the memorial's concluding prayer where directed.</x:v>
      </x:c>
      <x:c r="K266" s="42" t="str">
        <x:v>Psalter Week IV (OT Week 24); Evening Prayer with Proper of Saints/Common elements as directed.</x:v>
      </x:c>
      <x:c r="L266" s="42" t="str">
        <x:v>Night Prayer for Tuesday.</x:v>
      </x:c>
      <x:c r="M266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67">
      <x:c r="A267" s="40" t="n">
        <x:v>46281</x:v>
      </x:c>
      <x:c r="B267" s="41" t="str">
        <x:v>Wednesday</x:v>
      </x:c>
      <x:c r="C267" s="133" t="str">
        <x:v>Ordinary Time</x:v>
      </x:c>
      <x:c r="D267" s="41" t="str">
        <x:v>Saints Cornelius and Cyprian</x:v>
      </x:c>
      <x:c r="E267" s="41" t="str">
        <x:v>Memorial</x:v>
      </x:c>
      <x:c r="F267" s="41" t="str">
        <x:v>Vol. IV — Ordinary Time</x:v>
      </x:c>
      <x:c r="G267" s="42" t="str">
        <x:v>Psalter Week IV (OT Week 24)</x:v>
      </x:c>
      <x:c r="H267" s="42" t="str">
        <x:v>Psalter Week IV (OT Week 24); Proper of Saints for the saint's proper reading/prayer; Common where directed.</x:v>
      </x:c>
      <x:c r="I267" s="42" t="str">
        <x:v>Psalter Week IV (OT Week 24); Morning Prayer with Proper of Saints/Common elements as directed.</x:v>
      </x:c>
      <x:c r="J267" s="42" t="str">
        <x:v>Psalter Week IV (OT Week 24); Daytime Prayer of the season; use the memorial's concluding prayer where directed.</x:v>
      </x:c>
      <x:c r="K267" s="42" t="str">
        <x:v>Psalter Week IV (OT Week 24); Evening Prayer with Proper of Saints/Common elements as directed.</x:v>
      </x:c>
      <x:c r="L267" s="42" t="str">
        <x:v>Night Prayer for Wednesday.</x:v>
      </x:c>
      <x:c r="M267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68">
      <x:c r="A268" s="40" t="n">
        <x:v>46282</x:v>
      </x:c>
      <x:c r="B268" s="41" t="str">
        <x:v>Thursday</x:v>
      </x:c>
      <x:c r="C268" s="133" t="str">
        <x:v>Ordinary Time</x:v>
      </x:c>
      <x:c r="D268" s="41" t="str">
        <x:v>Weekday in Ordinary Time</x:v>
      </x:c>
      <x:c r="E268" s="41" t="str">
        <x:v>Weekday</x:v>
      </x:c>
      <x:c r="F268" s="41" t="str">
        <x:v>Vol. IV — Ordinary Time</x:v>
      </x:c>
      <x:c r="G268" s="42" t="str">
        <x:v>Psalter Week IV (OT Week 24)</x:v>
      </x:c>
      <x:c r="H268" s="42" t="str">
        <x:v>Proper of Seasons + Psalter Week IV (OT Week 24); weekday Office of Readings. Optional memorial may be inserted from the Proper of Saints if chosen.</x:v>
      </x:c>
      <x:c r="I268" s="42" t="str">
        <x:v>Proper of Seasons + Psalter Week IV (OT Week 24); weekday Morning Prayer. Optional memorial may be inserted from the Proper of Saints if chosen.</x:v>
      </x:c>
      <x:c r="J268" s="42" t="str">
        <x:v>Proper of Seasons + Psalter Week IV (OT Week 24); choose Midmorning, Midday, or Midafternoon Prayer.</x:v>
      </x:c>
      <x:c r="K268" s="42" t="str">
        <x:v>Proper of Seasons + Psalter Week IV (OT Week 24); weekday Evening Prayer. Optional memorial may be inserted from the Proper of Saints if chosen.</x:v>
      </x:c>
      <x:c r="L268" s="42" t="str">
        <x:v>Night Prayer for Thursday.</x:v>
      </x:c>
      <x:c r="M26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69">
      <x:c r="A269" s="40" t="n">
        <x:v>46283</x:v>
      </x:c>
      <x:c r="B269" s="41" t="str">
        <x:v>Friday</x:v>
      </x:c>
      <x:c r="C269" s="133" t="str">
        <x:v>Ordinary Time</x:v>
      </x:c>
      <x:c r="D269" s="41" t="str">
        <x:v>Weekday in Ordinary Time</x:v>
      </x:c>
      <x:c r="E269" s="41" t="str">
        <x:v>Weekday</x:v>
      </x:c>
      <x:c r="F269" s="41" t="str">
        <x:v>Vol. IV — Ordinary Time</x:v>
      </x:c>
      <x:c r="G269" s="42" t="str">
        <x:v>Psalter Week IV (OT Week 24)</x:v>
      </x:c>
      <x:c r="H269" s="42" t="str">
        <x:v>Proper of Seasons + Psalter Week IV (OT Week 24); weekday Office of Readings.</x:v>
      </x:c>
      <x:c r="I269" s="42" t="str">
        <x:v>Proper of Seasons + Psalter Week IV (OT Week 24); weekday Morning Prayer.</x:v>
      </x:c>
      <x:c r="J269" s="42" t="str">
        <x:v>Proper of Seasons + Psalter Week IV (OT Week 24); choose Midmorning, Midday, or Midafternoon Prayer.</x:v>
      </x:c>
      <x:c r="K269" s="42" t="str">
        <x:v>Proper of Seasons + Psalter Week IV (OT Week 24); weekday Evening Prayer.</x:v>
      </x:c>
      <x:c r="L269" s="42" t="str">
        <x:v>Night Prayer for Friday.</x:v>
      </x:c>
      <x:c r="M26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70">
      <x:c r="A270" s="40" t="n">
        <x:v>46284</x:v>
      </x:c>
      <x:c r="B270" s="41" t="str">
        <x:v>Saturday</x:v>
      </x:c>
      <x:c r="C270" s="133" t="str">
        <x:v>Ordinary Time</x:v>
      </x:c>
      <x:c r="D270" s="41" t="str">
        <x:v>Weekday in Ordinary Time</x:v>
      </x:c>
      <x:c r="E270" s="41" t="str">
        <x:v>Weekday</x:v>
      </x:c>
      <x:c r="F270" s="41" t="str">
        <x:v>Vol. IV — Ordinary Time</x:v>
      </x:c>
      <x:c r="G270" s="42" t="str">
        <x:v>Psalter Week IV (OT Week 24)</x:v>
      </x:c>
      <x:c r="H270" s="42" t="str">
        <x:v>Proper of Seasons + Psalter Week IV (OT Week 24); weekday Office of Readings. Optional memorial may be inserted from the Proper of Saints if chosen.</x:v>
      </x:c>
      <x:c r="I270" s="42" t="str">
        <x:v>Proper of Seasons + Psalter Week IV (OT Week 24); weekday Morning Prayer. Optional memorial may be inserted from the Proper of Saints if chosen.</x:v>
      </x:c>
      <x:c r="J270" s="42" t="str">
        <x:v>Proper of Seasons + Psalter Week IV (OT Week 24); choose Midmorning, Midday, or Midafternoon Prayer.</x:v>
      </x:c>
      <x:c r="K270" s="42" t="str">
        <x:v>First Vespers of Sunday: Twenty-Fifth Sunday in Ordinary Time — Proper of Seasons + tomorrow's Psalter week.</x:v>
      </x:c>
      <x:c r="L270" s="42" t="str">
        <x:v>Night Prayer I of Sunday after First Vespers.</x:v>
      </x:c>
      <x:c r="M270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71">
      <x:c r="A271" s="40" t="n">
        <x:v>46285</x:v>
      </x:c>
      <x:c r="B271" s="41" t="str">
        <x:v>Sunday</x:v>
      </x:c>
      <x:c r="C271" s="133" t="str">
        <x:v>Ordinary Time</x:v>
      </x:c>
      <x:c r="D271" s="41" t="str">
        <x:v>Twenty-Fifth Sunday in Ordinary Time</x:v>
      </x:c>
      <x:c r="E271" s="41" t="str">
        <x:v>Sunday</x:v>
      </x:c>
      <x:c r="F271" s="41" t="str">
        <x:v>Vol. IV — Ordinary Time</x:v>
      </x:c>
      <x:c r="G271" s="42" t="str">
        <x:v>Psalter Week I (OT Week 25)</x:v>
      </x:c>
      <x:c r="H271" s="42" t="str">
        <x:v>Proper of Seasons + Psalter Week I (OT Week 25); Office of Readings for Sunday.</x:v>
      </x:c>
      <x:c r="I271" s="42" t="str">
        <x:v>Proper of Seasons + Psalter Week I (OT Week 25); Morning Prayer for Sunday.</x:v>
      </x:c>
      <x:c r="J271" s="42" t="str">
        <x:v>Psalter Week I (OT Week 25); Sunday Daytime Prayer + seasonal proper.</x:v>
      </x:c>
      <x:c r="K271" s="42" t="str">
        <x:v>Evening Prayer II of Sunday — Proper of Seasons + Psalter Week I (OT Week 25).</x:v>
      </x:c>
      <x:c r="L271" s="42" t="str">
        <x:v>Night Prayer II of Sunday.</x:v>
      </x:c>
      <x:c r="M271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72">
      <x:c r="A272" s="40" t="n">
        <x:v>46286</x:v>
      </x:c>
      <x:c r="B272" s="41" t="str">
        <x:v>Monday</x:v>
      </x:c>
      <x:c r="C272" s="133" t="str">
        <x:v>Ordinary Time</x:v>
      </x:c>
      <x:c r="D272" s="131" t="str">
        <x:v>Saint Matthew, Apostle and Evangelist</x:v>
      </x:c>
      <x:c r="E272" s="131" t="str">
        <x:v>Feast</x:v>
      </x:c>
      <x:c r="F272" s="131" t="str">
        <x:v>Vol. IV — Ordinary Time</x:v>
      </x:c>
      <x:c r="G272" s="132" t="str">
        <x:v>Proper / Common</x:v>
      </x:c>
      <x:c r="H272" s="42" t="str">
        <x:v>Proper of Seasons/Saints → Feast; use Common where directed.</x:v>
      </x:c>
      <x:c r="I272" s="42" t="str">
        <x:v>Proper of the Feast/Common as directed; use feast psalmody where provided.</x:v>
      </x:c>
      <x:c r="J272" s="42" t="str">
        <x:v>Proper / Common; Daytime Prayer of the season, with the feast's proper elements where directed.</x:v>
      </x:c>
      <x:c r="K272" s="42" t="str">
        <x:v>Proper of the Feast/Common as directed for Evening Prayer.</x:v>
      </x:c>
      <x:c r="L272" s="42" t="str">
        <x:v>Night Prayer for Monday.</x:v>
      </x:c>
      <x:c r="M272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73">
      <x:c r="A273" s="40" t="n">
        <x:v>46287</x:v>
      </x:c>
      <x:c r="B273" s="41" t="str">
        <x:v>Tuesday</x:v>
      </x:c>
      <x:c r="C273" s="133" t="str">
        <x:v>Ordinary Time</x:v>
      </x:c>
      <x:c r="D273" s="41" t="str">
        <x:v>Weekday in Ordinary Time</x:v>
      </x:c>
      <x:c r="E273" s="41" t="str">
        <x:v>Weekday</x:v>
      </x:c>
      <x:c r="F273" s="41" t="str">
        <x:v>Vol. IV — Ordinary Time</x:v>
      </x:c>
      <x:c r="G273" s="42" t="str">
        <x:v>Psalter Week I (OT Week 25)</x:v>
      </x:c>
      <x:c r="H273" s="42" t="str">
        <x:v>Proper of Seasons + Psalter Week I (OT Week 25); weekday Office of Readings.</x:v>
      </x:c>
      <x:c r="I273" s="42" t="str">
        <x:v>Proper of Seasons + Psalter Week I (OT Week 25); weekday Morning Prayer.</x:v>
      </x:c>
      <x:c r="J273" s="42" t="str">
        <x:v>Proper of Seasons + Psalter Week I (OT Week 25); choose Midmorning, Midday, or Midafternoon Prayer.</x:v>
      </x:c>
      <x:c r="K273" s="42" t="str">
        <x:v>Proper of Seasons + Psalter Week I (OT Week 25); weekday Evening Prayer.</x:v>
      </x:c>
      <x:c r="L273" s="42" t="str">
        <x:v>Night Prayer for Tuesday.</x:v>
      </x:c>
      <x:c r="M27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74">
      <x:c r="A274" s="40" t="n">
        <x:v>46288</x:v>
      </x:c>
      <x:c r="B274" s="41" t="str">
        <x:v>Wednesday</x:v>
      </x:c>
      <x:c r="C274" s="133" t="str">
        <x:v>Ordinary Time</x:v>
      </x:c>
      <x:c r="D274" s="41" t="str">
        <x:v>Saint Pio of Pietrelcina</x:v>
      </x:c>
      <x:c r="E274" s="41" t="str">
        <x:v>Memorial</x:v>
      </x:c>
      <x:c r="F274" s="41" t="str">
        <x:v>Vol. IV — Ordinary Time</x:v>
      </x:c>
      <x:c r="G274" s="42" t="str">
        <x:v>Psalter Week I (OT Week 25)</x:v>
      </x:c>
      <x:c r="H274" s="42" t="str">
        <x:v>Psalter Week I (OT Week 25); Proper of Saints for the saint's proper reading/prayer; Common where directed.</x:v>
      </x:c>
      <x:c r="I274" s="42" t="str">
        <x:v>Psalter Week I (OT Week 25); Morning Prayer with Proper of Saints/Common elements as directed.</x:v>
      </x:c>
      <x:c r="J274" s="42" t="str">
        <x:v>Psalter Week I (OT Week 25); Daytime Prayer of the season; use the memorial's concluding prayer where directed.</x:v>
      </x:c>
      <x:c r="K274" s="42" t="str">
        <x:v>Psalter Week I (OT Week 25); Evening Prayer with Proper of Saints/Common elements as directed.</x:v>
      </x:c>
      <x:c r="L274" s="42" t="str">
        <x:v>Night Prayer for Wednesday.</x:v>
      </x:c>
      <x:c r="M27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75">
      <x:c r="A275" s="40" t="n">
        <x:v>46289</x:v>
      </x:c>
      <x:c r="B275" s="41" t="str">
        <x:v>Thursday</x:v>
      </x:c>
      <x:c r="C275" s="133" t="str">
        <x:v>Ordinary Time</x:v>
      </x:c>
      <x:c r="D275" s="41" t="str">
        <x:v>Weekday in Ordinary Time</x:v>
      </x:c>
      <x:c r="E275" s="41" t="str">
        <x:v>Weekday</x:v>
      </x:c>
      <x:c r="F275" s="41" t="str">
        <x:v>Vol. IV — Ordinary Time</x:v>
      </x:c>
      <x:c r="G275" s="42" t="str">
        <x:v>Psalter Week I (OT Week 25)</x:v>
      </x:c>
      <x:c r="H275" s="42" t="str">
        <x:v>Proper of Seasons + Psalter Week I (OT Week 25); weekday Office of Readings.</x:v>
      </x:c>
      <x:c r="I275" s="42" t="str">
        <x:v>Proper of Seasons + Psalter Week I (OT Week 25); weekday Morning Prayer.</x:v>
      </x:c>
      <x:c r="J275" s="42" t="str">
        <x:v>Proper of Seasons + Psalter Week I (OT Week 25); choose Midmorning, Midday, or Midafternoon Prayer.</x:v>
      </x:c>
      <x:c r="K275" s="42" t="str">
        <x:v>Proper of Seasons + Psalter Week I (OT Week 25); weekday Evening Prayer.</x:v>
      </x:c>
      <x:c r="L275" s="42" t="str">
        <x:v>Night Prayer for Thursday.</x:v>
      </x:c>
      <x:c r="M27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76">
      <x:c r="A276" s="40" t="n">
        <x:v>46290</x:v>
      </x:c>
      <x:c r="B276" s="41" t="str">
        <x:v>Friday</x:v>
      </x:c>
      <x:c r="C276" s="133" t="str">
        <x:v>Ordinary Time</x:v>
      </x:c>
      <x:c r="D276" s="41" t="str">
        <x:v>Weekday in Ordinary Time</x:v>
      </x:c>
      <x:c r="E276" s="41" t="str">
        <x:v>Weekday</x:v>
      </x:c>
      <x:c r="F276" s="41" t="str">
        <x:v>Vol. IV — Ordinary Time</x:v>
      </x:c>
      <x:c r="G276" s="42" t="str">
        <x:v>Psalter Week I (OT Week 25)</x:v>
      </x:c>
      <x:c r="H276" s="42" t="str">
        <x:v>Proper of Seasons + Psalter Week I (OT Week 25); weekday Office of Readings.</x:v>
      </x:c>
      <x:c r="I276" s="42" t="str">
        <x:v>Proper of Seasons + Psalter Week I (OT Week 25); weekday Morning Prayer.</x:v>
      </x:c>
      <x:c r="J276" s="42" t="str">
        <x:v>Proper of Seasons + Psalter Week I (OT Week 25); choose Midmorning, Midday, or Midafternoon Prayer.</x:v>
      </x:c>
      <x:c r="K276" s="42" t="str">
        <x:v>Proper of Seasons + Psalter Week I (OT Week 25); weekday Evening Prayer.</x:v>
      </x:c>
      <x:c r="L276" s="42" t="str">
        <x:v>Night Prayer for Friday.</x:v>
      </x:c>
      <x:c r="M27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77">
      <x:c r="A277" s="40" t="n">
        <x:v>46291</x:v>
      </x:c>
      <x:c r="B277" s="41" t="str">
        <x:v>Saturday</x:v>
      </x:c>
      <x:c r="C277" s="133" t="str">
        <x:v>Ordinary Time</x:v>
      </x:c>
      <x:c r="D277" s="41" t="str">
        <x:v>Weekday in Ordinary Time</x:v>
      </x:c>
      <x:c r="E277" s="41" t="str">
        <x:v>Weekday</x:v>
      </x:c>
      <x:c r="F277" s="41" t="str">
        <x:v>Vol. IV — Ordinary Time</x:v>
      </x:c>
      <x:c r="G277" s="42" t="str">
        <x:v>Psalter Week I (OT Week 25)</x:v>
      </x:c>
      <x:c r="H277" s="42" t="str">
        <x:v>Proper of Seasons + Psalter Week I (OT Week 25); weekday Office of Readings. Optional memorial may be inserted from the Proper of Saints if chosen.</x:v>
      </x:c>
      <x:c r="I277" s="42" t="str">
        <x:v>Proper of Seasons + Psalter Week I (OT Week 25); weekday Morning Prayer. Optional memorial may be inserted from the Proper of Saints if chosen.</x:v>
      </x:c>
      <x:c r="J277" s="42" t="str">
        <x:v>Proper of Seasons + Psalter Week I (OT Week 25); choose Midmorning, Midday, or Midafternoon Prayer.</x:v>
      </x:c>
      <x:c r="K277" s="42" t="str">
        <x:v>First Vespers of Sunday: Twenty-Sixth Sunday in Ordinary Time — Proper of Seasons + tomorrow's Psalter week.</x:v>
      </x:c>
      <x:c r="L277" s="42" t="str">
        <x:v>Night Prayer I of Sunday after First Vespers.</x:v>
      </x:c>
      <x:c r="M277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78">
      <x:c r="A278" s="40" t="n">
        <x:v>46292</x:v>
      </x:c>
      <x:c r="B278" s="41" t="str">
        <x:v>Sunday</x:v>
      </x:c>
      <x:c r="C278" s="133" t="str">
        <x:v>Ordinary Time</x:v>
      </x:c>
      <x:c r="D278" s="41" t="str">
        <x:v>Twenty-Sixth Sunday in Ordinary Time</x:v>
      </x:c>
      <x:c r="E278" s="41" t="str">
        <x:v>Sunday</x:v>
      </x:c>
      <x:c r="F278" s="41" t="str">
        <x:v>Vol. IV — Ordinary Time</x:v>
      </x:c>
      <x:c r="G278" s="42" t="str">
        <x:v>Psalter Week II (OT Week 26)</x:v>
      </x:c>
      <x:c r="H278" s="42" t="str">
        <x:v>Proper of Seasons + Psalter Week II (OT Week 26); Office of Readings for Sunday.</x:v>
      </x:c>
      <x:c r="I278" s="42" t="str">
        <x:v>Proper of Seasons + Psalter Week II (OT Week 26); Morning Prayer for Sunday.</x:v>
      </x:c>
      <x:c r="J278" s="42" t="str">
        <x:v>Psalter Week II (OT Week 26); Sunday Daytime Prayer + seasonal proper.</x:v>
      </x:c>
      <x:c r="K278" s="42" t="str">
        <x:v>Evening Prayer II of Sunday — Proper of Seasons + Psalter Week II (OT Week 26).</x:v>
      </x:c>
      <x:c r="L278" s="42" t="str">
        <x:v>Night Prayer II of Sunday.</x:v>
      </x:c>
      <x:c r="M278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79">
      <x:c r="A279" s="40" t="n">
        <x:v>46293</x:v>
      </x:c>
      <x:c r="B279" s="41" t="str">
        <x:v>Monday</x:v>
      </x:c>
      <x:c r="C279" s="133" t="str">
        <x:v>Ordinary Time</x:v>
      </x:c>
      <x:c r="D279" s="41" t="str">
        <x:v>Weekday in Ordinary Time</x:v>
      </x:c>
      <x:c r="E279" s="41" t="str">
        <x:v>Weekday</x:v>
      </x:c>
      <x:c r="F279" s="41" t="str">
        <x:v>Vol. IV — Ordinary Time</x:v>
      </x:c>
      <x:c r="G279" s="42" t="str">
        <x:v>Psalter Week II (OT Week 26)</x:v>
      </x:c>
      <x:c r="H279" s="42" t="str">
        <x:v>Proper of Seasons + Psalter Week II (OT Week 26); weekday Office of Readings. Optional memorial may be inserted from the Proper of Saints if chosen.</x:v>
      </x:c>
      <x:c r="I279" s="42" t="str">
        <x:v>Proper of Seasons + Psalter Week II (OT Week 26); weekday Morning Prayer. Optional memorial may be inserted from the Proper of Saints if chosen.</x:v>
      </x:c>
      <x:c r="J279" s="42" t="str">
        <x:v>Proper of Seasons + Psalter Week II (OT Week 26); choose Midmorning, Midday, or Midafternoon Prayer.</x:v>
      </x:c>
      <x:c r="K279" s="42" t="str">
        <x:v>Proper of Seasons + Psalter Week II (OT Week 26); weekday Evening Prayer. Optional memorial may be inserted from the Proper of Saints if chosen.</x:v>
      </x:c>
      <x:c r="L279" s="42" t="str">
        <x:v>Night Prayer for Monday.</x:v>
      </x:c>
      <x:c r="M27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80">
      <x:c r="A280" s="40" t="n">
        <x:v>46294</x:v>
      </x:c>
      <x:c r="B280" s="41" t="str">
        <x:v>Tuesday</x:v>
      </x:c>
      <x:c r="C280" s="133" t="str">
        <x:v>Ordinary Time</x:v>
      </x:c>
      <x:c r="D280" s="131" t="str">
        <x:v>Saints Michael, Gabriel and Raphael, Archangels</x:v>
      </x:c>
      <x:c r="E280" s="131" t="str">
        <x:v>Feast</x:v>
      </x:c>
      <x:c r="F280" s="131" t="str">
        <x:v>Vol. IV — Ordinary Time</x:v>
      </x:c>
      <x:c r="G280" s="132" t="str">
        <x:v>Proper / Common</x:v>
      </x:c>
      <x:c r="H280" s="42" t="str">
        <x:v>Proper of Seasons/Saints → Feast; use Common where directed.</x:v>
      </x:c>
      <x:c r="I280" s="42" t="str">
        <x:v>Proper of the Feast/Common as directed; use feast psalmody where provided.</x:v>
      </x:c>
      <x:c r="J280" s="42" t="str">
        <x:v>Proper / Common; Daytime Prayer of the season, with the feast's proper elements where directed.</x:v>
      </x:c>
      <x:c r="K280" s="42" t="str">
        <x:v>Proper of the Feast/Common as directed for Evening Prayer.</x:v>
      </x:c>
      <x:c r="L280" s="42" t="str">
        <x:v>Night Prayer for Tuesday.</x:v>
      </x:c>
      <x:c r="M280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281">
      <x:c r="A281" s="40" t="n">
        <x:v>46295</x:v>
      </x:c>
      <x:c r="B281" s="41" t="str">
        <x:v>Wednesday</x:v>
      </x:c>
      <x:c r="C281" s="133" t="str">
        <x:v>Ordinary Time</x:v>
      </x:c>
      <x:c r="D281" s="41" t="str">
        <x:v>Saint Jerome</x:v>
      </x:c>
      <x:c r="E281" s="41" t="str">
        <x:v>Memorial</x:v>
      </x:c>
      <x:c r="F281" s="41" t="str">
        <x:v>Vol. IV — Ordinary Time</x:v>
      </x:c>
      <x:c r="G281" s="42" t="str">
        <x:v>Psalter Week II (OT Week 26)</x:v>
      </x:c>
      <x:c r="H281" s="42" t="str">
        <x:v>Psalter Week II (OT Week 26); Proper of Saints for the saint's proper reading/prayer; Common where directed.</x:v>
      </x:c>
      <x:c r="I281" s="42" t="str">
        <x:v>Psalter Week II (OT Week 26); Morning Prayer with Proper of Saints/Common elements as directed.</x:v>
      </x:c>
      <x:c r="J281" s="42" t="str">
        <x:v>Psalter Week II (OT Week 26); Daytime Prayer of the season; use the memorial's concluding prayer where directed.</x:v>
      </x:c>
      <x:c r="K281" s="42" t="str">
        <x:v>Psalter Week II (OT Week 26); Evening Prayer with Proper of Saints/Common elements as directed.</x:v>
      </x:c>
      <x:c r="L281" s="42" t="str">
        <x:v>Night Prayer for Wednesday.</x:v>
      </x:c>
      <x:c r="M281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82">
      <x:c r="A282" s="40" t="n">
        <x:v>46296</x:v>
      </x:c>
      <x:c r="B282" s="41" t="str">
        <x:v>Thursday</x:v>
      </x:c>
      <x:c r="C282" s="133" t="str">
        <x:v>Ordinary Time</x:v>
      </x:c>
      <x:c r="D282" s="41" t="str">
        <x:v>Saint Thérèse of the Child Jesus</x:v>
      </x:c>
      <x:c r="E282" s="41" t="str">
        <x:v>Memorial</x:v>
      </x:c>
      <x:c r="F282" s="41" t="str">
        <x:v>Vol. IV — Ordinary Time</x:v>
      </x:c>
      <x:c r="G282" s="42" t="str">
        <x:v>Psalter Week II (OT Week 26)</x:v>
      </x:c>
      <x:c r="H282" s="42" t="str">
        <x:v>Psalter Week II (OT Week 26); Proper of Saints for the saint's proper reading/prayer; Common where directed.</x:v>
      </x:c>
      <x:c r="I282" s="42" t="str">
        <x:v>Psalter Week II (OT Week 26); Morning Prayer with Proper of Saints/Common elements as directed.</x:v>
      </x:c>
      <x:c r="J282" s="42" t="str">
        <x:v>Psalter Week II (OT Week 26); Daytime Prayer of the season; use the memorial's concluding prayer where directed.</x:v>
      </x:c>
      <x:c r="K282" s="42" t="str">
        <x:v>Psalter Week II (OT Week 26); Evening Prayer with Proper of Saints/Common elements as directed.</x:v>
      </x:c>
      <x:c r="L282" s="42" t="str">
        <x:v>Night Prayer for Thursday.</x:v>
      </x:c>
      <x:c r="M282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83">
      <x:c r="A283" s="40" t="n">
        <x:v>46297</x:v>
      </x:c>
      <x:c r="B283" s="41" t="str">
        <x:v>Friday</x:v>
      </x:c>
      <x:c r="C283" s="133" t="str">
        <x:v>Ordinary Time</x:v>
      </x:c>
      <x:c r="D283" s="41" t="str">
        <x:v>Holy Guardian Angels</x:v>
      </x:c>
      <x:c r="E283" s="41" t="str">
        <x:v>Memorial</x:v>
      </x:c>
      <x:c r="F283" s="41" t="str">
        <x:v>Vol. IV — Ordinary Time</x:v>
      </x:c>
      <x:c r="G283" s="42" t="str">
        <x:v>Psalter Week II (OT Week 26)</x:v>
      </x:c>
      <x:c r="H283" s="42" t="str">
        <x:v>Psalter Week II (OT Week 26); Proper of Saints for the saint's proper reading/prayer; Common where directed.</x:v>
      </x:c>
      <x:c r="I283" s="42" t="str">
        <x:v>Psalter Week II (OT Week 26); Morning Prayer with Proper of Saints/Common elements as directed.</x:v>
      </x:c>
      <x:c r="J283" s="42" t="str">
        <x:v>Psalter Week II (OT Week 26); Daytime Prayer of the season; use the memorial's concluding prayer where directed.</x:v>
      </x:c>
      <x:c r="K283" s="42" t="str">
        <x:v>Psalter Week II (OT Week 26); Evening Prayer with Proper of Saints/Common elements as directed.</x:v>
      </x:c>
      <x:c r="L283" s="42" t="str">
        <x:v>Night Prayer for Friday.</x:v>
      </x:c>
      <x:c r="M283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84">
      <x:c r="A284" s="40" t="n">
        <x:v>46298</x:v>
      </x:c>
      <x:c r="B284" s="41" t="str">
        <x:v>Saturday</x:v>
      </x:c>
      <x:c r="C284" s="133" t="str">
        <x:v>Ordinary Time</x:v>
      </x:c>
      <x:c r="D284" s="41" t="str">
        <x:v>Weekday in Ordinary Time</x:v>
      </x:c>
      <x:c r="E284" s="41" t="str">
        <x:v>Weekday</x:v>
      </x:c>
      <x:c r="F284" s="41" t="str">
        <x:v>Vol. IV — Ordinary Time</x:v>
      </x:c>
      <x:c r="G284" s="42" t="str">
        <x:v>Psalter Week II (OT Week 26)</x:v>
      </x:c>
      <x:c r="H284" s="42" t="str">
        <x:v>Proper of Seasons + Psalter Week II (OT Week 26); weekday Office of Readings.</x:v>
      </x:c>
      <x:c r="I284" s="42" t="str">
        <x:v>Proper of Seasons + Psalter Week II (OT Week 26); weekday Morning Prayer.</x:v>
      </x:c>
      <x:c r="J284" s="42" t="str">
        <x:v>Proper of Seasons + Psalter Week II (OT Week 26); choose Midmorning, Midday, or Midafternoon Prayer.</x:v>
      </x:c>
      <x:c r="K284" s="42" t="str">
        <x:v>First Vespers of Sunday: Twenty-Seventh Sunday in Ordinary Time — Proper of Seasons + tomorrow's Psalter week.</x:v>
      </x:c>
      <x:c r="L284" s="42" t="str">
        <x:v>Night Prayer I of Sunday after First Vespers.</x:v>
      </x:c>
      <x:c r="M284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85">
      <x:c r="A285" s="40" t="n">
        <x:v>46299</x:v>
      </x:c>
      <x:c r="B285" s="41" t="str">
        <x:v>Sunday</x:v>
      </x:c>
      <x:c r="C285" s="133" t="str">
        <x:v>Ordinary Time</x:v>
      </x:c>
      <x:c r="D285" s="41" t="str">
        <x:v>Twenty-Seventh Sunday in Ordinary Time</x:v>
      </x:c>
      <x:c r="E285" s="41" t="str">
        <x:v>Sunday</x:v>
      </x:c>
      <x:c r="F285" s="41" t="str">
        <x:v>Vol. IV — Ordinary Time</x:v>
      </x:c>
      <x:c r="G285" s="42" t="str">
        <x:v>Psalter Week III (OT Week 27)</x:v>
      </x:c>
      <x:c r="H285" s="42" t="str">
        <x:v>Proper of Seasons + Psalter Week III (OT Week 27); Office of Readings for Sunday.</x:v>
      </x:c>
      <x:c r="I285" s="42" t="str">
        <x:v>Proper of Seasons + Psalter Week III (OT Week 27); Morning Prayer for Sunday.</x:v>
      </x:c>
      <x:c r="J285" s="42" t="str">
        <x:v>Psalter Week III (OT Week 27); Sunday Daytime Prayer + seasonal proper.</x:v>
      </x:c>
      <x:c r="K285" s="42" t="str">
        <x:v>Evening Prayer II of Sunday — Proper of Seasons + Psalter Week III (OT Week 27).</x:v>
      </x:c>
      <x:c r="L285" s="42" t="str">
        <x:v>Night Prayer II of Sunday.</x:v>
      </x:c>
      <x:c r="M285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86">
      <x:c r="A286" s="40" t="n">
        <x:v>46300</x:v>
      </x:c>
      <x:c r="B286" s="41" t="str">
        <x:v>Monday</x:v>
      </x:c>
      <x:c r="C286" s="133" t="str">
        <x:v>Ordinary Time</x:v>
      </x:c>
      <x:c r="D286" s="41" t="str">
        <x:v>Weekday in Ordinary Time</x:v>
      </x:c>
      <x:c r="E286" s="41" t="str">
        <x:v>Weekday</x:v>
      </x:c>
      <x:c r="F286" s="41" t="str">
        <x:v>Vol. IV — Ordinary Time</x:v>
      </x:c>
      <x:c r="G286" s="42" t="str">
        <x:v>Psalter Week III (OT Week 27)</x:v>
      </x:c>
      <x:c r="H286" s="42" t="str">
        <x:v>Proper of Seasons + Psalter Week III (OT Week 27); weekday Office of Readings. Optional memorial may be inserted from the Proper of Saints if chosen.</x:v>
      </x:c>
      <x:c r="I286" s="42" t="str">
        <x:v>Proper of Seasons + Psalter Week III (OT Week 27); weekday Morning Prayer. Optional memorial may be inserted from the Proper of Saints if chosen.</x:v>
      </x:c>
      <x:c r="J286" s="42" t="str">
        <x:v>Proper of Seasons + Psalter Week III (OT Week 27); choose Midmorning, Midday, or Midafternoon Prayer.</x:v>
      </x:c>
      <x:c r="K286" s="42" t="str">
        <x:v>Proper of Seasons + Psalter Week III (OT Week 27); weekday Evening Prayer. Optional memorial may be inserted from the Proper of Saints if chosen.</x:v>
      </x:c>
      <x:c r="L286" s="42" t="str">
        <x:v>Night Prayer for Monday.</x:v>
      </x:c>
      <x:c r="M28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87">
      <x:c r="A287" s="40" t="n">
        <x:v>46301</x:v>
      </x:c>
      <x:c r="B287" s="41" t="str">
        <x:v>Tuesday</x:v>
      </x:c>
      <x:c r="C287" s="133" t="str">
        <x:v>Ordinary Time</x:v>
      </x:c>
      <x:c r="D287" s="41" t="str">
        <x:v>Weekday in Ordinary Time</x:v>
      </x:c>
      <x:c r="E287" s="41" t="str">
        <x:v>Weekday</x:v>
      </x:c>
      <x:c r="F287" s="41" t="str">
        <x:v>Vol. IV — Ordinary Time</x:v>
      </x:c>
      <x:c r="G287" s="42" t="str">
        <x:v>Psalter Week III (OT Week 27)</x:v>
      </x:c>
      <x:c r="H287" s="42" t="str">
        <x:v>Proper of Seasons + Psalter Week III (OT Week 27); weekday Office of Readings. Optional memorial may be inserted from the Proper of Saints if chosen.</x:v>
      </x:c>
      <x:c r="I287" s="42" t="str">
        <x:v>Proper of Seasons + Psalter Week III (OT Week 27); weekday Morning Prayer. Optional memorial may be inserted from the Proper of Saints if chosen.</x:v>
      </x:c>
      <x:c r="J287" s="42" t="str">
        <x:v>Proper of Seasons + Psalter Week III (OT Week 27); choose Midmorning, Midday, or Midafternoon Prayer.</x:v>
      </x:c>
      <x:c r="K287" s="42" t="str">
        <x:v>Proper of Seasons + Psalter Week III (OT Week 27); weekday Evening Prayer. Optional memorial may be inserted from the Proper of Saints if chosen.</x:v>
      </x:c>
      <x:c r="L287" s="42" t="str">
        <x:v>Night Prayer for Tuesday.</x:v>
      </x:c>
      <x:c r="M28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88">
      <x:c r="A288" s="40" t="n">
        <x:v>46302</x:v>
      </x:c>
      <x:c r="B288" s="41" t="str">
        <x:v>Wednesday</x:v>
      </x:c>
      <x:c r="C288" s="133" t="str">
        <x:v>Ordinary Time</x:v>
      </x:c>
      <x:c r="D288" s="41" t="str">
        <x:v>Our Lady of the Rosary</x:v>
      </x:c>
      <x:c r="E288" s="41" t="str">
        <x:v>Memorial</x:v>
      </x:c>
      <x:c r="F288" s="41" t="str">
        <x:v>Vol. IV — Ordinary Time</x:v>
      </x:c>
      <x:c r="G288" s="42" t="str">
        <x:v>Psalter Week III (OT Week 27)</x:v>
      </x:c>
      <x:c r="H288" s="42" t="str">
        <x:v>Psalter Week III (OT Week 27); Proper of Saints for the saint's proper reading/prayer; Common where directed.</x:v>
      </x:c>
      <x:c r="I288" s="42" t="str">
        <x:v>Psalter Week III (OT Week 27); Morning Prayer with Proper of Saints/Common elements as directed.</x:v>
      </x:c>
      <x:c r="J288" s="42" t="str">
        <x:v>Psalter Week III (OT Week 27); Daytime Prayer of the season; use the memorial's concluding prayer where directed.</x:v>
      </x:c>
      <x:c r="K288" s="42" t="str">
        <x:v>Psalter Week III (OT Week 27); Evening Prayer with Proper of Saints/Common elements as directed.</x:v>
      </x:c>
      <x:c r="L288" s="42" t="str">
        <x:v>Night Prayer for Wednesday.</x:v>
      </x:c>
      <x:c r="M288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89">
      <x:c r="A289" s="40" t="n">
        <x:v>46303</x:v>
      </x:c>
      <x:c r="B289" s="41" t="str">
        <x:v>Thursday</x:v>
      </x:c>
      <x:c r="C289" s="133" t="str">
        <x:v>Ordinary Time</x:v>
      </x:c>
      <x:c r="D289" s="41" t="str">
        <x:v>Weekday in Ordinary Time</x:v>
      </x:c>
      <x:c r="E289" s="41" t="str">
        <x:v>Weekday</x:v>
      </x:c>
      <x:c r="F289" s="41" t="str">
        <x:v>Vol. IV — Ordinary Time</x:v>
      </x:c>
      <x:c r="G289" s="42" t="str">
        <x:v>Psalter Week III (OT Week 27)</x:v>
      </x:c>
      <x:c r="H289" s="42" t="str">
        <x:v>Proper of Seasons + Psalter Week III (OT Week 27); weekday Office of Readings.</x:v>
      </x:c>
      <x:c r="I289" s="42" t="str">
        <x:v>Proper of Seasons + Psalter Week III (OT Week 27); weekday Morning Prayer.</x:v>
      </x:c>
      <x:c r="J289" s="42" t="str">
        <x:v>Proper of Seasons + Psalter Week III (OT Week 27); choose Midmorning, Midday, or Midafternoon Prayer.</x:v>
      </x:c>
      <x:c r="K289" s="42" t="str">
        <x:v>Proper of Seasons + Psalter Week III (OT Week 27); weekday Evening Prayer.</x:v>
      </x:c>
      <x:c r="L289" s="42" t="str">
        <x:v>Night Prayer for Thursday.</x:v>
      </x:c>
      <x:c r="M28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90">
      <x:c r="A290" s="40" t="n">
        <x:v>46304</x:v>
      </x:c>
      <x:c r="B290" s="41" t="str">
        <x:v>Friday</x:v>
      </x:c>
      <x:c r="C290" s="133" t="str">
        <x:v>Ordinary Time</x:v>
      </x:c>
      <x:c r="D290" s="41" t="str">
        <x:v>Weekday in Ordinary Time</x:v>
      </x:c>
      <x:c r="E290" s="41" t="str">
        <x:v>Weekday</x:v>
      </x:c>
      <x:c r="F290" s="41" t="str">
        <x:v>Vol. IV — Ordinary Time</x:v>
      </x:c>
      <x:c r="G290" s="42" t="str">
        <x:v>Psalter Week III (OT Week 27)</x:v>
      </x:c>
      <x:c r="H290" s="42" t="str">
        <x:v>Proper of Seasons + Psalter Week III (OT Week 27); weekday Office of Readings. Optional memorial may be inserted from the Proper of Saints if chosen.</x:v>
      </x:c>
      <x:c r="I290" s="42" t="str">
        <x:v>Proper of Seasons + Psalter Week III (OT Week 27); weekday Morning Prayer. Optional memorial may be inserted from the Proper of Saints if chosen.</x:v>
      </x:c>
      <x:c r="J290" s="42" t="str">
        <x:v>Proper of Seasons + Psalter Week III (OT Week 27); choose Midmorning, Midday, or Midafternoon Prayer.</x:v>
      </x:c>
      <x:c r="K290" s="42" t="str">
        <x:v>Proper of Seasons + Psalter Week III (OT Week 27); weekday Evening Prayer. Optional memorial may be inserted from the Proper of Saints if chosen.</x:v>
      </x:c>
      <x:c r="L290" s="42" t="str">
        <x:v>Night Prayer for Friday.</x:v>
      </x:c>
      <x:c r="M29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91">
      <x:c r="A291" s="40" t="n">
        <x:v>46305</x:v>
      </x:c>
      <x:c r="B291" s="41" t="str">
        <x:v>Saturday</x:v>
      </x:c>
      <x:c r="C291" s="133" t="str">
        <x:v>Ordinary Time</x:v>
      </x:c>
      <x:c r="D291" s="41" t="str">
        <x:v>Weekday in Ordinary Time</x:v>
      </x:c>
      <x:c r="E291" s="41" t="str">
        <x:v>Weekday</x:v>
      </x:c>
      <x:c r="F291" s="41" t="str">
        <x:v>Vol. IV — Ordinary Time</x:v>
      </x:c>
      <x:c r="G291" s="42" t="str">
        <x:v>Psalter Week III (OT Week 27)</x:v>
      </x:c>
      <x:c r="H291" s="42" t="str">
        <x:v>Proper of Seasons + Psalter Week III (OT Week 27); weekday Office of Readings.</x:v>
      </x:c>
      <x:c r="I291" s="42" t="str">
        <x:v>Proper of Seasons + Psalter Week III (OT Week 27); weekday Morning Prayer.</x:v>
      </x:c>
      <x:c r="J291" s="42" t="str">
        <x:v>Proper of Seasons + Psalter Week III (OT Week 27); choose Midmorning, Midday, or Midafternoon Prayer.</x:v>
      </x:c>
      <x:c r="K291" s="42" t="str">
        <x:v>First Vespers of Sunday: Twenty-Eighth Sunday in Ordinary Time — Proper of Seasons + tomorrow's Psalter week.</x:v>
      </x:c>
      <x:c r="L291" s="42" t="str">
        <x:v>Night Prayer I of Sunday after First Vespers.</x:v>
      </x:c>
      <x:c r="M291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92">
      <x:c r="A292" s="40" t="n">
        <x:v>46306</x:v>
      </x:c>
      <x:c r="B292" s="41" t="str">
        <x:v>Sunday</x:v>
      </x:c>
      <x:c r="C292" s="133" t="str">
        <x:v>Ordinary Time</x:v>
      </x:c>
      <x:c r="D292" s="41" t="str">
        <x:v>Twenty-Eighth Sunday in Ordinary Time</x:v>
      </x:c>
      <x:c r="E292" s="41" t="str">
        <x:v>Sunday</x:v>
      </x:c>
      <x:c r="F292" s="41" t="str">
        <x:v>Vol. IV — Ordinary Time</x:v>
      </x:c>
      <x:c r="G292" s="42" t="str">
        <x:v>Psalter Week IV (OT Week 28)</x:v>
      </x:c>
      <x:c r="H292" s="42" t="str">
        <x:v>Proper of Seasons + Psalter Week IV (OT Week 28); Office of Readings for Sunday.</x:v>
      </x:c>
      <x:c r="I292" s="42" t="str">
        <x:v>Proper of Seasons + Psalter Week IV (OT Week 28); Morning Prayer for Sunday.</x:v>
      </x:c>
      <x:c r="J292" s="42" t="str">
        <x:v>Psalter Week IV (OT Week 28); Sunday Daytime Prayer + seasonal proper.</x:v>
      </x:c>
      <x:c r="K292" s="42" t="str">
        <x:v>Evening Prayer II of Sunday — Proper of Seasons + Psalter Week IV (OT Week 28).</x:v>
      </x:c>
      <x:c r="L292" s="42" t="str">
        <x:v>Night Prayer II of Sunday.</x:v>
      </x:c>
      <x:c r="M292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93">
      <x:c r="A293" s="40" t="n">
        <x:v>46307</x:v>
      </x:c>
      <x:c r="B293" s="41" t="str">
        <x:v>Monday</x:v>
      </x:c>
      <x:c r="C293" s="133" t="str">
        <x:v>Ordinary Time</x:v>
      </x:c>
      <x:c r="D293" s="41" t="str">
        <x:v>Weekday in Ordinary Time</x:v>
      </x:c>
      <x:c r="E293" s="41" t="str">
        <x:v>Weekday</x:v>
      </x:c>
      <x:c r="F293" s="41" t="str">
        <x:v>Vol. IV — Ordinary Time</x:v>
      </x:c>
      <x:c r="G293" s="42" t="str">
        <x:v>Psalter Week IV (OT Week 28)</x:v>
      </x:c>
      <x:c r="H293" s="42" t="str">
        <x:v>Proper of Seasons + Psalter Week IV (OT Week 28); weekday Office of Readings.</x:v>
      </x:c>
      <x:c r="I293" s="42" t="str">
        <x:v>Proper of Seasons + Psalter Week IV (OT Week 28); weekday Morning Prayer.</x:v>
      </x:c>
      <x:c r="J293" s="42" t="str">
        <x:v>Proper of Seasons + Psalter Week IV (OT Week 28); choose Midmorning, Midday, or Midafternoon Prayer.</x:v>
      </x:c>
      <x:c r="K293" s="42" t="str">
        <x:v>Proper of Seasons + Psalter Week IV (OT Week 28); weekday Evening Prayer.</x:v>
      </x:c>
      <x:c r="L293" s="42" t="str">
        <x:v>Night Prayer for Monday.</x:v>
      </x:c>
      <x:c r="M29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94">
      <x:c r="A294" s="40" t="n">
        <x:v>46308</x:v>
      </x:c>
      <x:c r="B294" s="41" t="str">
        <x:v>Tuesday</x:v>
      </x:c>
      <x:c r="C294" s="133" t="str">
        <x:v>Ordinary Time</x:v>
      </x:c>
      <x:c r="D294" s="41" t="str">
        <x:v>Weekday in Ordinary Time</x:v>
      </x:c>
      <x:c r="E294" s="41" t="str">
        <x:v>Weekday</x:v>
      </x:c>
      <x:c r="F294" s="41" t="str">
        <x:v>Vol. IV — Ordinary Time</x:v>
      </x:c>
      <x:c r="G294" s="42" t="str">
        <x:v>Psalter Week IV (OT Week 28)</x:v>
      </x:c>
      <x:c r="H294" s="42" t="str">
        <x:v>Proper of Seasons + Psalter Week IV (OT Week 28); weekday Office of Readings.</x:v>
      </x:c>
      <x:c r="I294" s="42" t="str">
        <x:v>Proper of Seasons + Psalter Week IV (OT Week 28); weekday Morning Prayer.</x:v>
      </x:c>
      <x:c r="J294" s="42" t="str">
        <x:v>Proper of Seasons + Psalter Week IV (OT Week 28); choose Midmorning, Midday, or Midafternoon Prayer.</x:v>
      </x:c>
      <x:c r="K294" s="42" t="str">
        <x:v>Proper of Seasons + Psalter Week IV (OT Week 28); weekday Evening Prayer.</x:v>
      </x:c>
      <x:c r="L294" s="42" t="str">
        <x:v>Night Prayer for Tuesday.</x:v>
      </x:c>
      <x:c r="M29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95">
      <x:c r="A295" s="40" t="n">
        <x:v>46309</x:v>
      </x:c>
      <x:c r="B295" s="41" t="str">
        <x:v>Wednesday</x:v>
      </x:c>
      <x:c r="C295" s="133" t="str">
        <x:v>Ordinary Time</x:v>
      </x:c>
      <x:c r="D295" s="41" t="str">
        <x:v>Weekday in Ordinary Time</x:v>
      </x:c>
      <x:c r="E295" s="41" t="str">
        <x:v>Weekday</x:v>
      </x:c>
      <x:c r="F295" s="41" t="str">
        <x:v>Vol. IV — Ordinary Time</x:v>
      </x:c>
      <x:c r="G295" s="42" t="str">
        <x:v>Psalter Week IV (OT Week 28)</x:v>
      </x:c>
      <x:c r="H295" s="42" t="str">
        <x:v>Proper of Seasons + Psalter Week IV (OT Week 28); weekday Office of Readings. Optional memorial may be inserted from the Proper of Saints if chosen.</x:v>
      </x:c>
      <x:c r="I295" s="42" t="str">
        <x:v>Proper of Seasons + Psalter Week IV (OT Week 28); weekday Morning Prayer. Optional memorial may be inserted from the Proper of Saints if chosen.</x:v>
      </x:c>
      <x:c r="J295" s="42" t="str">
        <x:v>Proper of Seasons + Psalter Week IV (OT Week 28); choose Midmorning, Midday, or Midafternoon Prayer.</x:v>
      </x:c>
      <x:c r="K295" s="42" t="str">
        <x:v>Proper of Seasons + Psalter Week IV (OT Week 28); weekday Evening Prayer. Optional memorial may be inserted from the Proper of Saints if chosen.</x:v>
      </x:c>
      <x:c r="L295" s="42" t="str">
        <x:v>Night Prayer for Wednesday.</x:v>
      </x:c>
      <x:c r="M29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96">
      <x:c r="A296" s="40" t="n">
        <x:v>46310</x:v>
      </x:c>
      <x:c r="B296" s="41" t="str">
        <x:v>Thursday</x:v>
      </x:c>
      <x:c r="C296" s="133" t="str">
        <x:v>Ordinary Time</x:v>
      </x:c>
      <x:c r="D296" s="41" t="str">
        <x:v>Saint Teresa of Jesus (Ávila)</x:v>
      </x:c>
      <x:c r="E296" s="41" t="str">
        <x:v>Memorial</x:v>
      </x:c>
      <x:c r="F296" s="41" t="str">
        <x:v>Vol. IV — Ordinary Time</x:v>
      </x:c>
      <x:c r="G296" s="42" t="str">
        <x:v>Psalter Week IV (OT Week 28)</x:v>
      </x:c>
      <x:c r="H296" s="42" t="str">
        <x:v>Psalter Week IV (OT Week 28); Proper of Saints for the saint's proper reading/prayer; Common where directed.</x:v>
      </x:c>
      <x:c r="I296" s="42" t="str">
        <x:v>Psalter Week IV (OT Week 28); Morning Prayer with Proper of Saints/Common elements as directed.</x:v>
      </x:c>
      <x:c r="J296" s="42" t="str">
        <x:v>Psalter Week IV (OT Week 28); Daytime Prayer of the season; use the memorial's concluding prayer where directed.</x:v>
      </x:c>
      <x:c r="K296" s="42" t="str">
        <x:v>Psalter Week IV (OT Week 28); Evening Prayer with Proper of Saints/Common elements as directed.</x:v>
      </x:c>
      <x:c r="L296" s="42" t="str">
        <x:v>Night Prayer for Thursday.</x:v>
      </x:c>
      <x:c r="M296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297">
      <x:c r="A297" s="40" t="n">
        <x:v>46311</x:v>
      </x:c>
      <x:c r="B297" s="41" t="str">
        <x:v>Friday</x:v>
      </x:c>
      <x:c r="C297" s="133" t="str">
        <x:v>Ordinary Time</x:v>
      </x:c>
      <x:c r="D297" s="41" t="str">
        <x:v>Weekday in Ordinary Time</x:v>
      </x:c>
      <x:c r="E297" s="41" t="str">
        <x:v>Weekday</x:v>
      </x:c>
      <x:c r="F297" s="41" t="str">
        <x:v>Vol. IV — Ordinary Time</x:v>
      </x:c>
      <x:c r="G297" s="42" t="str">
        <x:v>Psalter Week IV (OT Week 28)</x:v>
      </x:c>
      <x:c r="H297" s="42" t="str">
        <x:v>Proper of Seasons + Psalter Week IV (OT Week 28); weekday Office of Readings. Optional memorial may be inserted from the Proper of Saints if chosen.</x:v>
      </x:c>
      <x:c r="I297" s="42" t="str">
        <x:v>Proper of Seasons + Psalter Week IV (OT Week 28); weekday Morning Prayer. Optional memorial may be inserted from the Proper of Saints if chosen.</x:v>
      </x:c>
      <x:c r="J297" s="42" t="str">
        <x:v>Proper of Seasons + Psalter Week IV (OT Week 28); choose Midmorning, Midday, or Midafternoon Prayer.</x:v>
      </x:c>
      <x:c r="K297" s="42" t="str">
        <x:v>Proper of Seasons + Psalter Week IV (OT Week 28); weekday Evening Prayer. Optional memorial may be inserted from the Proper of Saints if chosen.</x:v>
      </x:c>
      <x:c r="L297" s="42" t="str">
        <x:v>Night Prayer for Friday.</x:v>
      </x:c>
      <x:c r="M29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298">
      <x:c r="A298" s="40" t="n">
        <x:v>46312</x:v>
      </x:c>
      <x:c r="B298" s="41" t="str">
        <x:v>Saturday</x:v>
      </x:c>
      <x:c r="C298" s="133" t="str">
        <x:v>Ordinary Time</x:v>
      </x:c>
      <x:c r="D298" s="41" t="str">
        <x:v>Saint Ignatius of Antioch</x:v>
      </x:c>
      <x:c r="E298" s="41" t="str">
        <x:v>Memorial</x:v>
      </x:c>
      <x:c r="F298" s="41" t="str">
        <x:v>Vol. IV — Ordinary Time</x:v>
      </x:c>
      <x:c r="G298" s="42" t="str">
        <x:v>Psalter Week IV (OT Week 28)</x:v>
      </x:c>
      <x:c r="H298" s="42" t="str">
        <x:v>Psalter Week IV (OT Week 28); Proper of Saints for the saint's proper reading/prayer; Common where directed.</x:v>
      </x:c>
      <x:c r="I298" s="42" t="str">
        <x:v>Psalter Week IV (OT Week 28); Morning Prayer with Proper of Saints/Common elements as directed.</x:v>
      </x:c>
      <x:c r="J298" s="42" t="str">
        <x:v>Psalter Week IV (OT Week 28); Daytime Prayer of the season; use the memorial's concluding prayer where directed.</x:v>
      </x:c>
      <x:c r="K298" s="42" t="str">
        <x:v>First Vespers of Sunday: Twenty-Ninth Sunday in Ordinary Time — Proper of Seasons + tomorrow's Psalter week.</x:v>
      </x:c>
      <x:c r="L298" s="42" t="str">
        <x:v>Night Prayer I of Sunday after First Vespers.</x:v>
      </x:c>
      <x:c r="M298" s="42" t="str">
        <x:v>On a memorial, weekday psalmody ordinarily remains unless proper psalmody is provided; the Proper of Saints directs what is replaced.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299">
      <x:c r="A299" s="40" t="n">
        <x:v>46313</x:v>
      </x:c>
      <x:c r="B299" s="41" t="str">
        <x:v>Sunday</x:v>
      </x:c>
      <x:c r="C299" s="133" t="str">
        <x:v>Ordinary Time</x:v>
      </x:c>
      <x:c r="D299" s="41" t="str">
        <x:v>Twenty-Ninth Sunday in Ordinary Time</x:v>
      </x:c>
      <x:c r="E299" s="41" t="str">
        <x:v>Sunday</x:v>
      </x:c>
      <x:c r="F299" s="41" t="str">
        <x:v>Vol. IV — Ordinary Time</x:v>
      </x:c>
      <x:c r="G299" s="42" t="str">
        <x:v>Psalter Week I (OT Week 29)</x:v>
      </x:c>
      <x:c r="H299" s="42" t="str">
        <x:v>Proper of Seasons + Psalter Week I (OT Week 29); Office of Readings for Sunday.</x:v>
      </x:c>
      <x:c r="I299" s="42" t="str">
        <x:v>Proper of Seasons + Psalter Week I (OT Week 29); Morning Prayer for Sunday.</x:v>
      </x:c>
      <x:c r="J299" s="42" t="str">
        <x:v>Psalter Week I (OT Week 29); Sunday Daytime Prayer + seasonal proper.</x:v>
      </x:c>
      <x:c r="K299" s="42" t="str">
        <x:v>Evening Prayer II of Sunday — Proper of Seasons + Psalter Week I (OT Week 29).</x:v>
      </x:c>
      <x:c r="L299" s="42" t="str">
        <x:v>Night Prayer II of Sunday.</x:v>
      </x:c>
      <x:c r="M299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00">
      <x:c r="A300" s="40" t="n">
        <x:v>46314</x:v>
      </x:c>
      <x:c r="B300" s="41" t="str">
        <x:v>Monday</x:v>
      </x:c>
      <x:c r="C300" s="133" t="str">
        <x:v>Ordinary Time</x:v>
      </x:c>
      <x:c r="D300" s="41" t="str">
        <x:v>Saints John de Brébeuf, Isaac Jogues and Companions</x:v>
      </x:c>
      <x:c r="E300" s="41" t="str">
        <x:v>Memorial</x:v>
      </x:c>
      <x:c r="F300" s="41" t="str">
        <x:v>Vol. IV — Ordinary Time</x:v>
      </x:c>
      <x:c r="G300" s="42" t="str">
        <x:v>Psalter Week I (OT Week 29)</x:v>
      </x:c>
      <x:c r="H300" s="42" t="str">
        <x:v>Psalter Week I (OT Week 29); Proper of Saints for the saint's proper reading/prayer; Common where directed.</x:v>
      </x:c>
      <x:c r="I300" s="42" t="str">
        <x:v>Psalter Week I (OT Week 29); Morning Prayer with Proper of Saints/Common elements as directed.</x:v>
      </x:c>
      <x:c r="J300" s="42" t="str">
        <x:v>Psalter Week I (OT Week 29); Daytime Prayer of the season; use the memorial's concluding prayer where directed.</x:v>
      </x:c>
      <x:c r="K300" s="42" t="str">
        <x:v>Psalter Week I (OT Week 29); Evening Prayer with Proper of Saints/Common elements as directed.</x:v>
      </x:c>
      <x:c r="L300" s="42" t="str">
        <x:v>Night Prayer for Monday.</x:v>
      </x:c>
      <x:c r="M300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01">
      <x:c r="A301" s="40" t="n">
        <x:v>46315</x:v>
      </x:c>
      <x:c r="B301" s="41" t="str">
        <x:v>Tuesday</x:v>
      </x:c>
      <x:c r="C301" s="133" t="str">
        <x:v>Ordinary Time</x:v>
      </x:c>
      <x:c r="D301" s="41" t="str">
        <x:v>Weekday in Ordinary Time</x:v>
      </x:c>
      <x:c r="E301" s="41" t="str">
        <x:v>Weekday</x:v>
      </x:c>
      <x:c r="F301" s="41" t="str">
        <x:v>Vol. IV — Ordinary Time</x:v>
      </x:c>
      <x:c r="G301" s="42" t="str">
        <x:v>Psalter Week I (OT Week 29)</x:v>
      </x:c>
      <x:c r="H301" s="42" t="str">
        <x:v>Proper of Seasons + Psalter Week I (OT Week 29); weekday Office of Readings. Optional memorial may be inserted from the Proper of Saints if chosen.</x:v>
      </x:c>
      <x:c r="I301" s="42" t="str">
        <x:v>Proper of Seasons + Psalter Week I (OT Week 29); weekday Morning Prayer. Optional memorial may be inserted from the Proper of Saints if chosen.</x:v>
      </x:c>
      <x:c r="J301" s="42" t="str">
        <x:v>Proper of Seasons + Psalter Week I (OT Week 29); choose Midmorning, Midday, or Midafternoon Prayer.</x:v>
      </x:c>
      <x:c r="K301" s="42" t="str">
        <x:v>Proper of Seasons + Psalter Week I (OT Week 29); weekday Evening Prayer. Optional memorial may be inserted from the Proper of Saints if chosen.</x:v>
      </x:c>
      <x:c r="L301" s="42" t="str">
        <x:v>Night Prayer for Tuesday.</x:v>
      </x:c>
      <x:c r="M30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02">
      <x:c r="A302" s="40" t="n">
        <x:v>46316</x:v>
      </x:c>
      <x:c r="B302" s="41" t="str">
        <x:v>Wednesday</x:v>
      </x:c>
      <x:c r="C302" s="133" t="str">
        <x:v>Ordinary Time</x:v>
      </x:c>
      <x:c r="D302" s="41" t="str">
        <x:v>Weekday in Ordinary Time</x:v>
      </x:c>
      <x:c r="E302" s="41" t="str">
        <x:v>Weekday</x:v>
      </x:c>
      <x:c r="F302" s="41" t="str">
        <x:v>Vol. IV — Ordinary Time</x:v>
      </x:c>
      <x:c r="G302" s="42" t="str">
        <x:v>Psalter Week I (OT Week 29)</x:v>
      </x:c>
      <x:c r="H302" s="42" t="str">
        <x:v>Proper of Seasons + Psalter Week I (OT Week 29); weekday Office of Readings.</x:v>
      </x:c>
      <x:c r="I302" s="42" t="str">
        <x:v>Proper of Seasons + Psalter Week I (OT Week 29); weekday Morning Prayer.</x:v>
      </x:c>
      <x:c r="J302" s="42" t="str">
        <x:v>Proper of Seasons + Psalter Week I (OT Week 29); choose Midmorning, Midday, or Midafternoon Prayer.</x:v>
      </x:c>
      <x:c r="K302" s="42" t="str">
        <x:v>Proper of Seasons + Psalter Week I (OT Week 29); weekday Evening Prayer.</x:v>
      </x:c>
      <x:c r="L302" s="42" t="str">
        <x:v>Night Prayer for Wednesday.</x:v>
      </x:c>
      <x:c r="M30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03">
      <x:c r="A303" s="40" t="n">
        <x:v>46317</x:v>
      </x:c>
      <x:c r="B303" s="41" t="str">
        <x:v>Thursday</x:v>
      </x:c>
      <x:c r="C303" s="133" t="str">
        <x:v>Ordinary Time</x:v>
      </x:c>
      <x:c r="D303" s="41" t="str">
        <x:v>Weekday in Ordinary Time</x:v>
      </x:c>
      <x:c r="E303" s="41" t="str">
        <x:v>Weekday</x:v>
      </x:c>
      <x:c r="F303" s="41" t="str">
        <x:v>Vol. IV — Ordinary Time</x:v>
      </x:c>
      <x:c r="G303" s="42" t="str">
        <x:v>Psalter Week I (OT Week 29)</x:v>
      </x:c>
      <x:c r="H303" s="42" t="str">
        <x:v>Proper of Seasons + Psalter Week I (OT Week 29); weekday Office of Readings. Optional memorial may be inserted from the Proper of Saints if chosen.</x:v>
      </x:c>
      <x:c r="I303" s="42" t="str">
        <x:v>Proper of Seasons + Psalter Week I (OT Week 29); weekday Morning Prayer. Optional memorial may be inserted from the Proper of Saints if chosen.</x:v>
      </x:c>
      <x:c r="J303" s="42" t="str">
        <x:v>Proper of Seasons + Psalter Week I (OT Week 29); choose Midmorning, Midday, or Midafternoon Prayer.</x:v>
      </x:c>
      <x:c r="K303" s="42" t="str">
        <x:v>Proper of Seasons + Psalter Week I (OT Week 29); weekday Evening Prayer. Optional memorial may be inserted from the Proper of Saints if chosen.</x:v>
      </x:c>
      <x:c r="L303" s="42" t="str">
        <x:v>Night Prayer for Thursday.</x:v>
      </x:c>
      <x:c r="M30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04">
      <x:c r="A304" s="40" t="n">
        <x:v>46318</x:v>
      </x:c>
      <x:c r="B304" s="41" t="str">
        <x:v>Friday</x:v>
      </x:c>
      <x:c r="C304" s="133" t="str">
        <x:v>Ordinary Time</x:v>
      </x:c>
      <x:c r="D304" s="41" t="str">
        <x:v>Weekday in Ordinary Time</x:v>
      </x:c>
      <x:c r="E304" s="41" t="str">
        <x:v>Weekday</x:v>
      </x:c>
      <x:c r="F304" s="41" t="str">
        <x:v>Vol. IV — Ordinary Time</x:v>
      </x:c>
      <x:c r="G304" s="42" t="str">
        <x:v>Psalter Week I (OT Week 29)</x:v>
      </x:c>
      <x:c r="H304" s="42" t="str">
        <x:v>Proper of Seasons + Psalter Week I (OT Week 29); weekday Office of Readings. Optional memorial may be inserted from the Proper of Saints if chosen.</x:v>
      </x:c>
      <x:c r="I304" s="42" t="str">
        <x:v>Proper of Seasons + Psalter Week I (OT Week 29); weekday Morning Prayer. Optional memorial may be inserted from the Proper of Saints if chosen.</x:v>
      </x:c>
      <x:c r="J304" s="42" t="str">
        <x:v>Proper of Seasons + Psalter Week I (OT Week 29); choose Midmorning, Midday, or Midafternoon Prayer.</x:v>
      </x:c>
      <x:c r="K304" s="42" t="str">
        <x:v>Proper of Seasons + Psalter Week I (OT Week 29); weekday Evening Prayer. Optional memorial may be inserted from the Proper of Saints if chosen.</x:v>
      </x:c>
      <x:c r="L304" s="42" t="str">
        <x:v>Night Prayer for Friday.</x:v>
      </x:c>
      <x:c r="M30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05">
      <x:c r="A305" s="40" t="n">
        <x:v>46319</x:v>
      </x:c>
      <x:c r="B305" s="41" t="str">
        <x:v>Saturday</x:v>
      </x:c>
      <x:c r="C305" s="133" t="str">
        <x:v>Ordinary Time</x:v>
      </x:c>
      <x:c r="D305" s="41" t="str">
        <x:v>Weekday in Ordinary Time</x:v>
      </x:c>
      <x:c r="E305" s="41" t="str">
        <x:v>Weekday</x:v>
      </x:c>
      <x:c r="F305" s="41" t="str">
        <x:v>Vol. IV — Ordinary Time</x:v>
      </x:c>
      <x:c r="G305" s="42" t="str">
        <x:v>Psalter Week I (OT Week 29)</x:v>
      </x:c>
      <x:c r="H305" s="42" t="str">
        <x:v>Proper of Seasons + Psalter Week I (OT Week 29); weekday Office of Readings. Optional memorial may be inserted from the Proper of Saints if chosen.</x:v>
      </x:c>
      <x:c r="I305" s="42" t="str">
        <x:v>Proper of Seasons + Psalter Week I (OT Week 29); weekday Morning Prayer. Optional memorial may be inserted from the Proper of Saints if chosen.</x:v>
      </x:c>
      <x:c r="J305" s="42" t="str">
        <x:v>Proper of Seasons + Psalter Week I (OT Week 29); choose Midmorning, Midday, or Midafternoon Prayer.</x:v>
      </x:c>
      <x:c r="K305" s="42" t="str">
        <x:v>First Vespers of Sunday: Thirtieth Sunday in Ordinary Time — Proper of Seasons + tomorrow's Psalter week.</x:v>
      </x:c>
      <x:c r="L305" s="42" t="str">
        <x:v>Night Prayer I of Sunday after First Vespers.</x:v>
      </x:c>
      <x:c r="M305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06">
      <x:c r="A306" s="40" t="n">
        <x:v>46320</x:v>
      </x:c>
      <x:c r="B306" s="41" t="str">
        <x:v>Sunday</x:v>
      </x:c>
      <x:c r="C306" s="133" t="str">
        <x:v>Ordinary Time</x:v>
      </x:c>
      <x:c r="D306" s="41" t="str">
        <x:v>Thirtieth Sunday in Ordinary Time</x:v>
      </x:c>
      <x:c r="E306" s="41" t="str">
        <x:v>Sunday</x:v>
      </x:c>
      <x:c r="F306" s="41" t="str">
        <x:v>Vol. IV — Ordinary Time</x:v>
      </x:c>
      <x:c r="G306" s="42" t="str">
        <x:v>Psalter Week II (OT Week 30)</x:v>
      </x:c>
      <x:c r="H306" s="42" t="str">
        <x:v>Proper of Seasons + Psalter Week II (OT Week 30); Office of Readings for Sunday.</x:v>
      </x:c>
      <x:c r="I306" s="42" t="str">
        <x:v>Proper of Seasons + Psalter Week II (OT Week 30); Morning Prayer for Sunday.</x:v>
      </x:c>
      <x:c r="J306" s="42" t="str">
        <x:v>Psalter Week II (OT Week 30); Sunday Daytime Prayer + seasonal proper.</x:v>
      </x:c>
      <x:c r="K306" s="42" t="str">
        <x:v>Evening Prayer II of Sunday — Proper of Seasons + Psalter Week II (OT Week 30).</x:v>
      </x:c>
      <x:c r="L306" s="42" t="str">
        <x:v>Night Prayer II of Sunday.</x:v>
      </x:c>
      <x:c r="M306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07">
      <x:c r="A307" s="40" t="n">
        <x:v>46321</x:v>
      </x:c>
      <x:c r="B307" s="41" t="str">
        <x:v>Monday</x:v>
      </x:c>
      <x:c r="C307" s="133" t="str">
        <x:v>Ordinary Time</x:v>
      </x:c>
      <x:c r="D307" s="41" t="str">
        <x:v>Weekday in Ordinary Time</x:v>
      </x:c>
      <x:c r="E307" s="41" t="str">
        <x:v>Weekday</x:v>
      </x:c>
      <x:c r="F307" s="41" t="str">
        <x:v>Vol. IV — Ordinary Time</x:v>
      </x:c>
      <x:c r="G307" s="42" t="str">
        <x:v>Psalter Week II (OT Week 30)</x:v>
      </x:c>
      <x:c r="H307" s="42" t="str">
        <x:v>Proper of Seasons + Psalter Week II (OT Week 30); weekday Office of Readings.</x:v>
      </x:c>
      <x:c r="I307" s="42" t="str">
        <x:v>Proper of Seasons + Psalter Week II (OT Week 30); weekday Morning Prayer.</x:v>
      </x:c>
      <x:c r="J307" s="42" t="str">
        <x:v>Proper of Seasons + Psalter Week II (OT Week 30); choose Midmorning, Midday, or Midafternoon Prayer.</x:v>
      </x:c>
      <x:c r="K307" s="42" t="str">
        <x:v>Proper of Seasons + Psalter Week II (OT Week 30); weekday Evening Prayer.</x:v>
      </x:c>
      <x:c r="L307" s="42" t="str">
        <x:v>Night Prayer for Monday.</x:v>
      </x:c>
      <x:c r="M30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08">
      <x:c r="A308" s="40" t="n">
        <x:v>46322</x:v>
      </x:c>
      <x:c r="B308" s="41" t="str">
        <x:v>Tuesday</x:v>
      </x:c>
      <x:c r="C308" s="133" t="str">
        <x:v>Ordinary Time</x:v>
      </x:c>
      <x:c r="D308" s="41" t="str">
        <x:v>Weekday in Ordinary Time</x:v>
      </x:c>
      <x:c r="E308" s="41" t="str">
        <x:v>Weekday</x:v>
      </x:c>
      <x:c r="F308" s="41" t="str">
        <x:v>Vol. IV — Ordinary Time</x:v>
      </x:c>
      <x:c r="G308" s="42" t="str">
        <x:v>Psalter Week II (OT Week 30)</x:v>
      </x:c>
      <x:c r="H308" s="42" t="str">
        <x:v>Proper of Seasons + Psalter Week II (OT Week 30); weekday Office of Readings.</x:v>
      </x:c>
      <x:c r="I308" s="42" t="str">
        <x:v>Proper of Seasons + Psalter Week II (OT Week 30); weekday Morning Prayer.</x:v>
      </x:c>
      <x:c r="J308" s="42" t="str">
        <x:v>Proper of Seasons + Psalter Week II (OT Week 30); choose Midmorning, Midday, or Midafternoon Prayer.</x:v>
      </x:c>
      <x:c r="K308" s="42" t="str">
        <x:v>Proper of Seasons + Psalter Week II (OT Week 30); weekday Evening Prayer.</x:v>
      </x:c>
      <x:c r="L308" s="42" t="str">
        <x:v>Night Prayer for Tuesday.</x:v>
      </x:c>
      <x:c r="M30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09">
      <x:c r="A309" s="40" t="n">
        <x:v>46323</x:v>
      </x:c>
      <x:c r="B309" s="41" t="str">
        <x:v>Wednesday</x:v>
      </x:c>
      <x:c r="C309" s="133" t="str">
        <x:v>Ordinary Time</x:v>
      </x:c>
      <x:c r="D309" s="131" t="str">
        <x:v>Saints Simon and Jude, Apostles</x:v>
      </x:c>
      <x:c r="E309" s="131" t="str">
        <x:v>Feast</x:v>
      </x:c>
      <x:c r="F309" s="131" t="str">
        <x:v>Vol. IV — Ordinary Time</x:v>
      </x:c>
      <x:c r="G309" s="132" t="str">
        <x:v>Proper / Common</x:v>
      </x:c>
      <x:c r="H309" s="42" t="str">
        <x:v>Proper of Seasons/Saints → Feast; use Common where directed.</x:v>
      </x:c>
      <x:c r="I309" s="42" t="str">
        <x:v>Proper of the Feast/Common as directed; use feast psalmody where provided.</x:v>
      </x:c>
      <x:c r="J309" s="42" t="str">
        <x:v>Proper / Common; Daytime Prayer of the season, with the feast's proper elements where directed.</x:v>
      </x:c>
      <x:c r="K309" s="42" t="str">
        <x:v>Proper of the Feast/Common as directed for Evening Prayer.</x:v>
      </x:c>
      <x:c r="L309" s="42" t="str">
        <x:v>Night Prayer for Wednesday.</x:v>
      </x:c>
      <x:c r="M309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310">
      <x:c r="A310" s="40" t="n">
        <x:v>46324</x:v>
      </x:c>
      <x:c r="B310" s="41" t="str">
        <x:v>Thursday</x:v>
      </x:c>
      <x:c r="C310" s="133" t="str">
        <x:v>Ordinary Time</x:v>
      </x:c>
      <x:c r="D310" s="41" t="str">
        <x:v>Weekday in Ordinary Time</x:v>
      </x:c>
      <x:c r="E310" s="41" t="str">
        <x:v>Weekday</x:v>
      </x:c>
      <x:c r="F310" s="41" t="str">
        <x:v>Vol. IV — Ordinary Time</x:v>
      </x:c>
      <x:c r="G310" s="42" t="str">
        <x:v>Psalter Week II (OT Week 30)</x:v>
      </x:c>
      <x:c r="H310" s="42" t="str">
        <x:v>Proper of Seasons + Psalter Week II (OT Week 30); weekday Office of Readings.</x:v>
      </x:c>
      <x:c r="I310" s="42" t="str">
        <x:v>Proper of Seasons + Psalter Week II (OT Week 30); weekday Morning Prayer.</x:v>
      </x:c>
      <x:c r="J310" s="42" t="str">
        <x:v>Proper of Seasons + Psalter Week II (OT Week 30); choose Midmorning, Midday, or Midafternoon Prayer.</x:v>
      </x:c>
      <x:c r="K310" s="42" t="str">
        <x:v>Proper of Seasons + Psalter Week II (OT Week 30); weekday Evening Prayer.</x:v>
      </x:c>
      <x:c r="L310" s="42" t="str">
        <x:v>Night Prayer for Thursday.</x:v>
      </x:c>
      <x:c r="M31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11">
      <x:c r="A311" s="40" t="n">
        <x:v>46325</x:v>
      </x:c>
      <x:c r="B311" s="41" t="str">
        <x:v>Friday</x:v>
      </x:c>
      <x:c r="C311" s="133" t="str">
        <x:v>Ordinary Time</x:v>
      </x:c>
      <x:c r="D311" s="41" t="str">
        <x:v>Weekday in Ordinary Time</x:v>
      </x:c>
      <x:c r="E311" s="41" t="str">
        <x:v>Weekday</x:v>
      </x:c>
      <x:c r="F311" s="41" t="str">
        <x:v>Vol. IV — Ordinary Time</x:v>
      </x:c>
      <x:c r="G311" s="42" t="str">
        <x:v>Psalter Week II (OT Week 30)</x:v>
      </x:c>
      <x:c r="H311" s="42" t="str">
        <x:v>Proper of Seasons + Psalter Week II (OT Week 30); weekday Office of Readings.</x:v>
      </x:c>
      <x:c r="I311" s="42" t="str">
        <x:v>Proper of Seasons + Psalter Week II (OT Week 30); weekday Morning Prayer.</x:v>
      </x:c>
      <x:c r="J311" s="42" t="str">
        <x:v>Proper of Seasons + Psalter Week II (OT Week 30); choose Midmorning, Midday, or Midafternoon Prayer.</x:v>
      </x:c>
      <x:c r="K311" s="42" t="str">
        <x:v>Proper of Seasons + Psalter Week II (OT Week 30); weekday Evening Prayer.</x:v>
      </x:c>
      <x:c r="L311" s="42" t="str">
        <x:v>Night Prayer for Friday.</x:v>
      </x:c>
      <x:c r="M31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12">
      <x:c r="A312" s="40" t="n">
        <x:v>46326</x:v>
      </x:c>
      <x:c r="B312" s="41" t="str">
        <x:v>Saturday</x:v>
      </x:c>
      <x:c r="C312" s="133" t="str">
        <x:v>Ordinary Time</x:v>
      </x:c>
      <x:c r="D312" s="41" t="str">
        <x:v>Weekday in Ordinary Time</x:v>
      </x:c>
      <x:c r="E312" s="41" t="str">
        <x:v>Weekday</x:v>
      </x:c>
      <x:c r="F312" s="41" t="str">
        <x:v>Vol. IV — Ordinary Time</x:v>
      </x:c>
      <x:c r="G312" s="42" t="str">
        <x:v>Psalter Week II (OT Week 30)</x:v>
      </x:c>
      <x:c r="H312" s="42" t="str">
        <x:v>Proper of Seasons + Psalter Week II (OT Week 30); weekday Office of Readings.</x:v>
      </x:c>
      <x:c r="I312" s="42" t="str">
        <x:v>Proper of Seasons + Psalter Week II (OT Week 30); weekday Morning Prayer.</x:v>
      </x:c>
      <x:c r="J312" s="42" t="str">
        <x:v>Proper of Seasons + Psalter Week II (OT Week 30); choose Midmorning, Midday, or Midafternoon Prayer.</x:v>
      </x:c>
      <x:c r="K312" s="42" t="str">
        <x:v>First Vespers of tomorrow's solemnity: All Saints — Proper/Common as directed.</x:v>
      </x:c>
      <x:c r="L312" s="42" t="str">
        <x:v>Night Prayer I of Sunday/Solemnity after First Vespers.</x:v>
      </x:c>
      <x:c r="M312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13">
      <x:c r="A313" s="40" t="n">
        <x:v>46327</x:v>
      </x:c>
      <x:c r="B313" s="41" t="str">
        <x:v>Sunday</x:v>
      </x:c>
      <x:c r="C313" s="133" t="str">
        <x:v>Ordinary Time</x:v>
      </x:c>
      <x:c r="D313" s="131" t="str">
        <x:v>All Saints</x:v>
      </x:c>
      <x:c r="E313" s="131" t="str">
        <x:v>Solemnity</x:v>
      </x:c>
      <x:c r="F313" s="131" t="str">
        <x:v>Vol. IV — Ordinary Time</x:v>
      </x:c>
      <x:c r="G313" s="132" t="str">
        <x:v>Proper / Common</x:v>
      </x:c>
      <x:c r="H313" s="42" t="str">
        <x:v>Proper of Seasons/Saints → Solemnity; use Common only where the proper directs.</x:v>
      </x:c>
      <x:c r="I313" s="42" t="str">
        <x:v>Proper of Seasons/Saints → Morning Prayer of the solemnity.</x:v>
      </x:c>
      <x:c r="J313" s="42" t="str">
        <x:v>Daytime Prayer of the solemnity; use complementary psalmody if the rubric directs.</x:v>
      </x:c>
      <x:c r="K313" s="42" t="str">
        <x:v>Evening Prayer II of the solemnity (Proper/Common as directed).</x:v>
      </x:c>
      <x:c r="L313" s="42" t="str">
        <x:v>Night Prayer II of Sunday/Solemnity after Evening Prayer II.</x:v>
      </x:c>
      <x:c r="M313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14">
      <x:c r="A314" s="40" t="n">
        <x:v>46328</x:v>
      </x:c>
      <x:c r="B314" s="41" t="str">
        <x:v>Monday</x:v>
      </x:c>
      <x:c r="C314" s="133" t="str">
        <x:v>Ordinary Time</x:v>
      </x:c>
      <x:c r="D314" s="41" t="str">
        <x:v>Weekday in Ordinary Time</x:v>
      </x:c>
      <x:c r="E314" s="41" t="str">
        <x:v>Weekday</x:v>
      </x:c>
      <x:c r="F314" s="41" t="str">
        <x:v>Vol. IV — Ordinary Time</x:v>
      </x:c>
      <x:c r="G314" s="42" t="str">
        <x:v>Psalter Week III (OT Week 31)</x:v>
      </x:c>
      <x:c r="H314" s="42" t="str">
        <x:v>Proper of Seasons + Psalter Week III (OT Week 31); weekday Office of Readings.</x:v>
      </x:c>
      <x:c r="I314" s="42" t="str">
        <x:v>Proper of Seasons + Psalter Week III (OT Week 31); weekday Morning Prayer.</x:v>
      </x:c>
      <x:c r="J314" s="42" t="str">
        <x:v>Proper of Seasons + Psalter Week III (OT Week 31); choose Midmorning, Midday, or Midafternoon Prayer.</x:v>
      </x:c>
      <x:c r="K314" s="42" t="str">
        <x:v>Proper of Seasons + Psalter Week III (OT Week 31); weekday Evening Prayer.</x:v>
      </x:c>
      <x:c r="L314" s="42" t="str">
        <x:v>Night Prayer for Monday.</x:v>
      </x:c>
      <x:c r="M31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15">
      <x:c r="A315" s="40" t="n">
        <x:v>46329</x:v>
      </x:c>
      <x:c r="B315" s="41" t="str">
        <x:v>Tuesday</x:v>
      </x:c>
      <x:c r="C315" s="133" t="str">
        <x:v>Ordinary Time</x:v>
      </x:c>
      <x:c r="D315" s="41" t="str">
        <x:v>Weekday in Ordinary Time</x:v>
      </x:c>
      <x:c r="E315" s="41" t="str">
        <x:v>Weekday</x:v>
      </x:c>
      <x:c r="F315" s="41" t="str">
        <x:v>Vol. IV — Ordinary Time</x:v>
      </x:c>
      <x:c r="G315" s="42" t="str">
        <x:v>Psalter Week III (OT Week 31)</x:v>
      </x:c>
      <x:c r="H315" s="42" t="str">
        <x:v>Proper of Seasons + Psalter Week III (OT Week 31); weekday Office of Readings. Optional memorial may be inserted from the Proper of Saints if chosen.</x:v>
      </x:c>
      <x:c r="I315" s="42" t="str">
        <x:v>Proper of Seasons + Psalter Week III (OT Week 31); weekday Morning Prayer. Optional memorial may be inserted from the Proper of Saints if chosen.</x:v>
      </x:c>
      <x:c r="J315" s="42" t="str">
        <x:v>Proper of Seasons + Psalter Week III (OT Week 31); choose Midmorning, Midday, or Midafternoon Prayer.</x:v>
      </x:c>
      <x:c r="K315" s="42" t="str">
        <x:v>Proper of Seasons + Psalter Week III (OT Week 31); weekday Evening Prayer. Optional memorial may be inserted from the Proper of Saints if chosen.</x:v>
      </x:c>
      <x:c r="L315" s="42" t="str">
        <x:v>Night Prayer for Tuesday.</x:v>
      </x:c>
      <x:c r="M31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16">
      <x:c r="A316" s="40" t="n">
        <x:v>46330</x:v>
      </x:c>
      <x:c r="B316" s="41" t="str">
        <x:v>Wednesday</x:v>
      </x:c>
      <x:c r="C316" s="133" t="str">
        <x:v>Ordinary Time</x:v>
      </x:c>
      <x:c r="D316" s="41" t="str">
        <x:v>Saint Charles Borromeo</x:v>
      </x:c>
      <x:c r="E316" s="41" t="str">
        <x:v>Memorial</x:v>
      </x:c>
      <x:c r="F316" s="41" t="str">
        <x:v>Vol. IV — Ordinary Time</x:v>
      </x:c>
      <x:c r="G316" s="42" t="str">
        <x:v>Psalter Week III (OT Week 31)</x:v>
      </x:c>
      <x:c r="H316" s="42" t="str">
        <x:v>Psalter Week III (OT Week 31); Proper of Saints for the saint's proper reading/prayer; Common where directed.</x:v>
      </x:c>
      <x:c r="I316" s="42" t="str">
        <x:v>Psalter Week III (OT Week 31); Morning Prayer with Proper of Saints/Common elements as directed.</x:v>
      </x:c>
      <x:c r="J316" s="42" t="str">
        <x:v>Psalter Week III (OT Week 31); Daytime Prayer of the season; use the memorial's concluding prayer where directed.</x:v>
      </x:c>
      <x:c r="K316" s="42" t="str">
        <x:v>Psalter Week III (OT Week 31); Evening Prayer with Proper of Saints/Common elements as directed.</x:v>
      </x:c>
      <x:c r="L316" s="42" t="str">
        <x:v>Night Prayer for Wednesday.</x:v>
      </x:c>
      <x:c r="M316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17">
      <x:c r="A317" s="40" t="n">
        <x:v>46331</x:v>
      </x:c>
      <x:c r="B317" s="41" t="str">
        <x:v>Thursday</x:v>
      </x:c>
      <x:c r="C317" s="133" t="str">
        <x:v>Ordinary Time</x:v>
      </x:c>
      <x:c r="D317" s="41" t="str">
        <x:v>Weekday in Ordinary Time</x:v>
      </x:c>
      <x:c r="E317" s="41" t="str">
        <x:v>Weekday</x:v>
      </x:c>
      <x:c r="F317" s="41" t="str">
        <x:v>Vol. IV — Ordinary Time</x:v>
      </x:c>
      <x:c r="G317" s="42" t="str">
        <x:v>Psalter Week III (OT Week 31)</x:v>
      </x:c>
      <x:c r="H317" s="42" t="str">
        <x:v>Proper of Seasons + Psalter Week III (OT Week 31); weekday Office of Readings.</x:v>
      </x:c>
      <x:c r="I317" s="42" t="str">
        <x:v>Proper of Seasons + Psalter Week III (OT Week 31); weekday Morning Prayer.</x:v>
      </x:c>
      <x:c r="J317" s="42" t="str">
        <x:v>Proper of Seasons + Psalter Week III (OT Week 31); choose Midmorning, Midday, or Midafternoon Prayer.</x:v>
      </x:c>
      <x:c r="K317" s="42" t="str">
        <x:v>Proper of Seasons + Psalter Week III (OT Week 31); weekday Evening Prayer.</x:v>
      </x:c>
      <x:c r="L317" s="42" t="str">
        <x:v>Night Prayer for Thursday.</x:v>
      </x:c>
      <x:c r="M31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18">
      <x:c r="A318" s="40" t="n">
        <x:v>46332</x:v>
      </x:c>
      <x:c r="B318" s="41" t="str">
        <x:v>Friday</x:v>
      </x:c>
      <x:c r="C318" s="133" t="str">
        <x:v>Ordinary Time</x:v>
      </x:c>
      <x:c r="D318" s="41" t="str">
        <x:v>Weekday in Ordinary Time</x:v>
      </x:c>
      <x:c r="E318" s="41" t="str">
        <x:v>Weekday</x:v>
      </x:c>
      <x:c r="F318" s="41" t="str">
        <x:v>Vol. IV — Ordinary Time</x:v>
      </x:c>
      <x:c r="G318" s="42" t="str">
        <x:v>Psalter Week III (OT Week 31)</x:v>
      </x:c>
      <x:c r="H318" s="42" t="str">
        <x:v>Proper of Seasons + Psalter Week III (OT Week 31); weekday Office of Readings.</x:v>
      </x:c>
      <x:c r="I318" s="42" t="str">
        <x:v>Proper of Seasons + Psalter Week III (OT Week 31); weekday Morning Prayer.</x:v>
      </x:c>
      <x:c r="J318" s="42" t="str">
        <x:v>Proper of Seasons + Psalter Week III (OT Week 31); choose Midmorning, Midday, or Midafternoon Prayer.</x:v>
      </x:c>
      <x:c r="K318" s="42" t="str">
        <x:v>Proper of Seasons + Psalter Week III (OT Week 31); weekday Evening Prayer.</x:v>
      </x:c>
      <x:c r="L318" s="42" t="str">
        <x:v>Night Prayer for Friday.</x:v>
      </x:c>
      <x:c r="M31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19">
      <x:c r="A319" s="40" t="n">
        <x:v>46333</x:v>
      </x:c>
      <x:c r="B319" s="41" t="str">
        <x:v>Saturday</x:v>
      </x:c>
      <x:c r="C319" s="133" t="str">
        <x:v>Ordinary Time</x:v>
      </x:c>
      <x:c r="D319" s="41" t="str">
        <x:v>Weekday in Ordinary Time</x:v>
      </x:c>
      <x:c r="E319" s="41" t="str">
        <x:v>Weekday</x:v>
      </x:c>
      <x:c r="F319" s="41" t="str">
        <x:v>Vol. IV — Ordinary Time</x:v>
      </x:c>
      <x:c r="G319" s="42" t="str">
        <x:v>Psalter Week III (OT Week 31)</x:v>
      </x:c>
      <x:c r="H319" s="42" t="str">
        <x:v>Proper of Seasons + Psalter Week III (OT Week 31); weekday Office of Readings.</x:v>
      </x:c>
      <x:c r="I319" s="42" t="str">
        <x:v>Proper of Seasons + Psalter Week III (OT Week 31); weekday Morning Prayer.</x:v>
      </x:c>
      <x:c r="J319" s="42" t="str">
        <x:v>Proper of Seasons + Psalter Week III (OT Week 31); choose Midmorning, Midday, or Midafternoon Prayer.</x:v>
      </x:c>
      <x:c r="K319" s="42" t="str">
        <x:v>First Vespers of Sunday: Thirty-Second Sunday in Ordinary Time — Proper of Seasons + tomorrow's Psalter week.</x:v>
      </x:c>
      <x:c r="L319" s="42" t="str">
        <x:v>Night Prayer I of Sunday after First Vespers.</x:v>
      </x:c>
      <x:c r="M319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20">
      <x:c r="A320" s="40" t="n">
        <x:v>46334</x:v>
      </x:c>
      <x:c r="B320" s="41" t="str">
        <x:v>Sunday</x:v>
      </x:c>
      <x:c r="C320" s="133" t="str">
        <x:v>Ordinary Time</x:v>
      </x:c>
      <x:c r="D320" s="41" t="str">
        <x:v>Thirty-Second Sunday in Ordinary Time</x:v>
      </x:c>
      <x:c r="E320" s="41" t="str">
        <x:v>Sunday</x:v>
      </x:c>
      <x:c r="F320" s="41" t="str">
        <x:v>Vol. IV — Ordinary Time</x:v>
      </x:c>
      <x:c r="G320" s="42" t="str">
        <x:v>Psalter Week IV (OT Week 32)</x:v>
      </x:c>
      <x:c r="H320" s="42" t="str">
        <x:v>Proper of Seasons + Psalter Week IV (OT Week 32); Office of Readings for Sunday.</x:v>
      </x:c>
      <x:c r="I320" s="42" t="str">
        <x:v>Proper of Seasons + Psalter Week IV (OT Week 32); Morning Prayer for Sunday.</x:v>
      </x:c>
      <x:c r="J320" s="42" t="str">
        <x:v>Psalter Week IV (OT Week 32); Sunday Daytime Prayer + seasonal proper.</x:v>
      </x:c>
      <x:c r="K320" s="42" t="str">
        <x:v>Evening Prayer II of Sunday — Proper of Seasons + Psalter Week IV (OT Week 32).</x:v>
      </x:c>
      <x:c r="L320" s="42" t="str">
        <x:v>Night Prayer II of Sunday.</x:v>
      </x:c>
      <x:c r="M320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21">
      <x:c r="A321" s="40" t="n">
        <x:v>46335</x:v>
      </x:c>
      <x:c r="B321" s="41" t="str">
        <x:v>Monday</x:v>
      </x:c>
      <x:c r="C321" s="133" t="str">
        <x:v>Ordinary Time</x:v>
      </x:c>
      <x:c r="D321" s="131" t="str">
        <x:v>Dedication of the Lateran Basilica</x:v>
      </x:c>
      <x:c r="E321" s="131" t="str">
        <x:v>Feast</x:v>
      </x:c>
      <x:c r="F321" s="131" t="str">
        <x:v>Vol. IV — Ordinary Time</x:v>
      </x:c>
      <x:c r="G321" s="132" t="str">
        <x:v>Proper / Common</x:v>
      </x:c>
      <x:c r="H321" s="42" t="str">
        <x:v>Proper of Seasons/Saints → Feast; use Common where directed.</x:v>
      </x:c>
      <x:c r="I321" s="42" t="str">
        <x:v>Proper of the Feast/Common as directed; use feast psalmody where provided.</x:v>
      </x:c>
      <x:c r="J321" s="42" t="str">
        <x:v>Proper / Common; Daytime Prayer of the season, with the feast's proper elements where directed.</x:v>
      </x:c>
      <x:c r="K321" s="42" t="str">
        <x:v>Proper of the Feast/Common as directed for Evening Prayer.</x:v>
      </x:c>
      <x:c r="L321" s="42" t="str">
        <x:v>Night Prayer for Monday.</x:v>
      </x:c>
      <x:c r="M321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322">
      <x:c r="A322" s="40" t="n">
        <x:v>46336</x:v>
      </x:c>
      <x:c r="B322" s="41" t="str">
        <x:v>Tuesday</x:v>
      </x:c>
      <x:c r="C322" s="133" t="str">
        <x:v>Ordinary Time</x:v>
      </x:c>
      <x:c r="D322" s="41" t="str">
        <x:v>Saint Leo the Great</x:v>
      </x:c>
      <x:c r="E322" s="41" t="str">
        <x:v>Memorial</x:v>
      </x:c>
      <x:c r="F322" s="41" t="str">
        <x:v>Vol. IV — Ordinary Time</x:v>
      </x:c>
      <x:c r="G322" s="42" t="str">
        <x:v>Psalter Week IV (OT Week 32)</x:v>
      </x:c>
      <x:c r="H322" s="42" t="str">
        <x:v>Psalter Week IV (OT Week 32); Proper of Saints for the saint's proper reading/prayer; Common where directed.</x:v>
      </x:c>
      <x:c r="I322" s="42" t="str">
        <x:v>Psalter Week IV (OT Week 32); Morning Prayer with Proper of Saints/Common elements as directed.</x:v>
      </x:c>
      <x:c r="J322" s="42" t="str">
        <x:v>Psalter Week IV (OT Week 32); Daytime Prayer of the season; use the memorial's concluding prayer where directed.</x:v>
      </x:c>
      <x:c r="K322" s="42" t="str">
        <x:v>Psalter Week IV (OT Week 32); Evening Prayer with Proper of Saints/Common elements as directed.</x:v>
      </x:c>
      <x:c r="L322" s="42" t="str">
        <x:v>Night Prayer for Tuesday.</x:v>
      </x:c>
      <x:c r="M322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23">
      <x:c r="A323" s="40" t="n">
        <x:v>46337</x:v>
      </x:c>
      <x:c r="B323" s="41" t="str">
        <x:v>Wednesday</x:v>
      </x:c>
      <x:c r="C323" s="133" t="str">
        <x:v>Ordinary Time</x:v>
      </x:c>
      <x:c r="D323" s="41" t="str">
        <x:v>Saint Martin of Tours</x:v>
      </x:c>
      <x:c r="E323" s="41" t="str">
        <x:v>Memorial</x:v>
      </x:c>
      <x:c r="F323" s="41" t="str">
        <x:v>Vol. IV — Ordinary Time</x:v>
      </x:c>
      <x:c r="G323" s="42" t="str">
        <x:v>Psalter Week IV (OT Week 32)</x:v>
      </x:c>
      <x:c r="H323" s="42" t="str">
        <x:v>Psalter Week IV (OT Week 32); Proper of Saints for the saint's proper reading/prayer; Common where directed.</x:v>
      </x:c>
      <x:c r="I323" s="42" t="str">
        <x:v>Psalter Week IV (OT Week 32); Morning Prayer with Proper of Saints/Common elements as directed.</x:v>
      </x:c>
      <x:c r="J323" s="42" t="str">
        <x:v>Psalter Week IV (OT Week 32); Daytime Prayer of the season; use the memorial's concluding prayer where directed.</x:v>
      </x:c>
      <x:c r="K323" s="42" t="str">
        <x:v>Psalter Week IV (OT Week 32); Evening Prayer with Proper of Saints/Common elements as directed.</x:v>
      </x:c>
      <x:c r="L323" s="42" t="str">
        <x:v>Night Prayer for Wednesday.</x:v>
      </x:c>
      <x:c r="M323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24">
      <x:c r="A324" s="40" t="n">
        <x:v>46338</x:v>
      </x:c>
      <x:c r="B324" s="41" t="str">
        <x:v>Thursday</x:v>
      </x:c>
      <x:c r="C324" s="133" t="str">
        <x:v>Ordinary Time</x:v>
      </x:c>
      <x:c r="D324" s="41" t="str">
        <x:v>Saint Josaphat</x:v>
      </x:c>
      <x:c r="E324" s="41" t="str">
        <x:v>Memorial</x:v>
      </x:c>
      <x:c r="F324" s="41" t="str">
        <x:v>Vol. IV — Ordinary Time</x:v>
      </x:c>
      <x:c r="G324" s="42" t="str">
        <x:v>Psalter Week IV (OT Week 32)</x:v>
      </x:c>
      <x:c r="H324" s="42" t="str">
        <x:v>Psalter Week IV (OT Week 32); Proper of Saints for the saint's proper reading/prayer; Common where directed.</x:v>
      </x:c>
      <x:c r="I324" s="42" t="str">
        <x:v>Psalter Week IV (OT Week 32); Morning Prayer with Proper of Saints/Common elements as directed.</x:v>
      </x:c>
      <x:c r="J324" s="42" t="str">
        <x:v>Psalter Week IV (OT Week 32); Daytime Prayer of the season; use the memorial's concluding prayer where directed.</x:v>
      </x:c>
      <x:c r="K324" s="42" t="str">
        <x:v>Psalter Week IV (OT Week 32); Evening Prayer with Proper of Saints/Common elements as directed.</x:v>
      </x:c>
      <x:c r="L324" s="42" t="str">
        <x:v>Night Prayer for Thursday.</x:v>
      </x:c>
      <x:c r="M324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25">
      <x:c r="A325" s="40" t="n">
        <x:v>46339</x:v>
      </x:c>
      <x:c r="B325" s="41" t="str">
        <x:v>Friday</x:v>
      </x:c>
      <x:c r="C325" s="133" t="str">
        <x:v>Ordinary Time</x:v>
      </x:c>
      <x:c r="D325" s="41" t="str">
        <x:v>Saint Frances Xavier Cabrini</x:v>
      </x:c>
      <x:c r="E325" s="41" t="str">
        <x:v>Memorial</x:v>
      </x:c>
      <x:c r="F325" s="41" t="str">
        <x:v>Vol. IV — Ordinary Time</x:v>
      </x:c>
      <x:c r="G325" s="42" t="str">
        <x:v>Psalter Week IV (OT Week 32)</x:v>
      </x:c>
      <x:c r="H325" s="42" t="str">
        <x:v>Psalter Week IV (OT Week 32); Proper of Saints for the saint's proper reading/prayer; Common where directed.</x:v>
      </x:c>
      <x:c r="I325" s="42" t="str">
        <x:v>Psalter Week IV (OT Week 32); Morning Prayer with Proper of Saints/Common elements as directed.</x:v>
      </x:c>
      <x:c r="J325" s="42" t="str">
        <x:v>Psalter Week IV (OT Week 32); Daytime Prayer of the season; use the memorial's concluding prayer where directed.</x:v>
      </x:c>
      <x:c r="K325" s="42" t="str">
        <x:v>Psalter Week IV (OT Week 32); Evening Prayer with Proper of Saints/Common elements as directed.</x:v>
      </x:c>
      <x:c r="L325" s="42" t="str">
        <x:v>Night Prayer for Friday.</x:v>
      </x:c>
      <x:c r="M325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26">
      <x:c r="A326" s="40" t="n">
        <x:v>46340</x:v>
      </x:c>
      <x:c r="B326" s="41" t="str">
        <x:v>Saturday</x:v>
      </x:c>
      <x:c r="C326" s="133" t="str">
        <x:v>Ordinary Time</x:v>
      </x:c>
      <x:c r="D326" s="41" t="str">
        <x:v>Weekday in Ordinary Time</x:v>
      </x:c>
      <x:c r="E326" s="41" t="str">
        <x:v>Weekday</x:v>
      </x:c>
      <x:c r="F326" s="41" t="str">
        <x:v>Vol. IV — Ordinary Time</x:v>
      </x:c>
      <x:c r="G326" s="42" t="str">
        <x:v>Psalter Week IV (OT Week 32)</x:v>
      </x:c>
      <x:c r="H326" s="42" t="str">
        <x:v>Proper of Seasons + Psalter Week IV (OT Week 32); weekday Office of Readings.</x:v>
      </x:c>
      <x:c r="I326" s="42" t="str">
        <x:v>Proper of Seasons + Psalter Week IV (OT Week 32); weekday Morning Prayer.</x:v>
      </x:c>
      <x:c r="J326" s="42" t="str">
        <x:v>Proper of Seasons + Psalter Week IV (OT Week 32); choose Midmorning, Midday, or Midafternoon Prayer.</x:v>
      </x:c>
      <x:c r="K326" s="42" t="str">
        <x:v>First Vespers of Sunday: Thirty-Third Sunday in Ordinary Time — Proper of Seasons + tomorrow's Psalter week.</x:v>
      </x:c>
      <x:c r="L326" s="42" t="str">
        <x:v>Night Prayer I of Sunday after First Vespers.</x:v>
      </x:c>
      <x:c r="M326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27">
      <x:c r="A327" s="40" t="n">
        <x:v>46341</x:v>
      </x:c>
      <x:c r="B327" s="41" t="str">
        <x:v>Sunday</x:v>
      </x:c>
      <x:c r="C327" s="133" t="str">
        <x:v>Ordinary Time</x:v>
      </x:c>
      <x:c r="D327" s="41" t="str">
        <x:v>Thirty-Third Sunday in Ordinary Time</x:v>
      </x:c>
      <x:c r="E327" s="41" t="str">
        <x:v>Sunday</x:v>
      </x:c>
      <x:c r="F327" s="41" t="str">
        <x:v>Vol. IV — Ordinary Time</x:v>
      </x:c>
      <x:c r="G327" s="42" t="str">
        <x:v>Psalter Week I (OT Week 33)</x:v>
      </x:c>
      <x:c r="H327" s="42" t="str">
        <x:v>Proper of Seasons + Psalter Week I (OT Week 33); Office of Readings for Sunday.</x:v>
      </x:c>
      <x:c r="I327" s="42" t="str">
        <x:v>Proper of Seasons + Psalter Week I (OT Week 33); Morning Prayer for Sunday.</x:v>
      </x:c>
      <x:c r="J327" s="42" t="str">
        <x:v>Psalter Week I (OT Week 33); Sunday Daytime Prayer + seasonal proper.</x:v>
      </x:c>
      <x:c r="K327" s="42" t="str">
        <x:v>Evening Prayer II of Sunday — Proper of Seasons + Psalter Week I (OT Week 33).</x:v>
      </x:c>
      <x:c r="L327" s="42" t="str">
        <x:v>Night Prayer II of Sunday.</x:v>
      </x:c>
      <x:c r="M327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28">
      <x:c r="A328" s="40" t="n">
        <x:v>46342</x:v>
      </x:c>
      <x:c r="B328" s="41" t="str">
        <x:v>Monday</x:v>
      </x:c>
      <x:c r="C328" s="133" t="str">
        <x:v>Ordinary Time</x:v>
      </x:c>
      <x:c r="D328" s="41" t="str">
        <x:v>Weekday in Ordinary Time</x:v>
      </x:c>
      <x:c r="E328" s="41" t="str">
        <x:v>Weekday</x:v>
      </x:c>
      <x:c r="F328" s="41" t="str">
        <x:v>Vol. IV — Ordinary Time</x:v>
      </x:c>
      <x:c r="G328" s="42" t="str">
        <x:v>Psalter Week I (OT Week 33)</x:v>
      </x:c>
      <x:c r="H328" s="42" t="str">
        <x:v>Proper of Seasons + Psalter Week I (OT Week 33); weekday Office of Readings. Optional memorial may be inserted from the Proper of Saints if chosen.</x:v>
      </x:c>
      <x:c r="I328" s="42" t="str">
        <x:v>Proper of Seasons + Psalter Week I (OT Week 33); weekday Morning Prayer. Optional memorial may be inserted from the Proper of Saints if chosen.</x:v>
      </x:c>
      <x:c r="J328" s="42" t="str">
        <x:v>Proper of Seasons + Psalter Week I (OT Week 33); choose Midmorning, Midday, or Midafternoon Prayer.</x:v>
      </x:c>
      <x:c r="K328" s="42" t="str">
        <x:v>Proper of Seasons + Psalter Week I (OT Week 33); weekday Evening Prayer. Optional memorial may be inserted from the Proper of Saints if chosen.</x:v>
      </x:c>
      <x:c r="L328" s="42" t="str">
        <x:v>Night Prayer for Monday.</x:v>
      </x:c>
      <x:c r="M32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29">
      <x:c r="A329" s="40" t="n">
        <x:v>46343</x:v>
      </x:c>
      <x:c r="B329" s="41" t="str">
        <x:v>Tuesday</x:v>
      </x:c>
      <x:c r="C329" s="133" t="str">
        <x:v>Ordinary Time</x:v>
      </x:c>
      <x:c r="D329" s="41" t="str">
        <x:v>Saint Elizabeth of Hungary</x:v>
      </x:c>
      <x:c r="E329" s="41" t="str">
        <x:v>Memorial</x:v>
      </x:c>
      <x:c r="F329" s="41" t="str">
        <x:v>Vol. IV — Ordinary Time</x:v>
      </x:c>
      <x:c r="G329" s="42" t="str">
        <x:v>Psalter Week I (OT Week 33)</x:v>
      </x:c>
      <x:c r="H329" s="42" t="str">
        <x:v>Psalter Week I (OT Week 33); Proper of Saints for the saint's proper reading/prayer; Common where directed.</x:v>
      </x:c>
      <x:c r="I329" s="42" t="str">
        <x:v>Psalter Week I (OT Week 33); Morning Prayer with Proper of Saints/Common elements as directed.</x:v>
      </x:c>
      <x:c r="J329" s="42" t="str">
        <x:v>Psalter Week I (OT Week 33); Daytime Prayer of the season; use the memorial's concluding prayer where directed.</x:v>
      </x:c>
      <x:c r="K329" s="42" t="str">
        <x:v>Psalter Week I (OT Week 33); Evening Prayer with Proper of Saints/Common elements as directed.</x:v>
      </x:c>
      <x:c r="L329" s="42" t="str">
        <x:v>Night Prayer for Tuesday.</x:v>
      </x:c>
      <x:c r="M329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30">
      <x:c r="A330" s="40" t="n">
        <x:v>46344</x:v>
      </x:c>
      <x:c r="B330" s="41" t="str">
        <x:v>Wednesday</x:v>
      </x:c>
      <x:c r="C330" s="133" t="str">
        <x:v>Ordinary Time</x:v>
      </x:c>
      <x:c r="D330" s="41" t="str">
        <x:v>Weekday in Ordinary Time</x:v>
      </x:c>
      <x:c r="E330" s="41" t="str">
        <x:v>Weekday</x:v>
      </x:c>
      <x:c r="F330" s="41" t="str">
        <x:v>Vol. IV — Ordinary Time</x:v>
      </x:c>
      <x:c r="G330" s="42" t="str">
        <x:v>Psalter Week I (OT Week 33)</x:v>
      </x:c>
      <x:c r="H330" s="42" t="str">
        <x:v>Proper of Seasons + Psalter Week I (OT Week 33); weekday Office of Readings. Optional memorial may be inserted from the Proper of Saints if chosen.</x:v>
      </x:c>
      <x:c r="I330" s="42" t="str">
        <x:v>Proper of Seasons + Psalter Week I (OT Week 33); weekday Morning Prayer. Optional memorial may be inserted from the Proper of Saints if chosen.</x:v>
      </x:c>
      <x:c r="J330" s="42" t="str">
        <x:v>Proper of Seasons + Psalter Week I (OT Week 33); choose Midmorning, Midday, or Midafternoon Prayer.</x:v>
      </x:c>
      <x:c r="K330" s="42" t="str">
        <x:v>Proper of Seasons + Psalter Week I (OT Week 33); weekday Evening Prayer. Optional memorial may be inserted from the Proper of Saints if chosen.</x:v>
      </x:c>
      <x:c r="L330" s="42" t="str">
        <x:v>Night Prayer for Wednesday.</x:v>
      </x:c>
      <x:c r="M33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31">
      <x:c r="A331" s="40" t="n">
        <x:v>46345</x:v>
      </x:c>
      <x:c r="B331" s="41" t="str">
        <x:v>Thursday</x:v>
      </x:c>
      <x:c r="C331" s="133" t="str">
        <x:v>Ordinary Time</x:v>
      </x:c>
      <x:c r="D331" s="41" t="str">
        <x:v>Weekday in Ordinary Time</x:v>
      </x:c>
      <x:c r="E331" s="41" t="str">
        <x:v>Weekday</x:v>
      </x:c>
      <x:c r="F331" s="41" t="str">
        <x:v>Vol. IV — Ordinary Time</x:v>
      </x:c>
      <x:c r="G331" s="42" t="str">
        <x:v>Psalter Week I (OT Week 33)</x:v>
      </x:c>
      <x:c r="H331" s="42" t="str">
        <x:v>Proper of Seasons + Psalter Week I (OT Week 33); weekday Office of Readings.</x:v>
      </x:c>
      <x:c r="I331" s="42" t="str">
        <x:v>Proper of Seasons + Psalter Week I (OT Week 33); weekday Morning Prayer.</x:v>
      </x:c>
      <x:c r="J331" s="42" t="str">
        <x:v>Proper of Seasons + Psalter Week I (OT Week 33); choose Midmorning, Midday, or Midafternoon Prayer.</x:v>
      </x:c>
      <x:c r="K331" s="42" t="str">
        <x:v>Proper of Seasons + Psalter Week I (OT Week 33); weekday Evening Prayer.</x:v>
      </x:c>
      <x:c r="L331" s="42" t="str">
        <x:v>Night Prayer for Thursday.</x:v>
      </x:c>
      <x:c r="M33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32">
      <x:c r="A332" s="40" t="n">
        <x:v>46346</x:v>
      </x:c>
      <x:c r="B332" s="41" t="str">
        <x:v>Friday</x:v>
      </x:c>
      <x:c r="C332" s="133" t="str">
        <x:v>Ordinary Time</x:v>
      </x:c>
      <x:c r="D332" s="41" t="str">
        <x:v>Weekday in Ordinary Time</x:v>
      </x:c>
      <x:c r="E332" s="41" t="str">
        <x:v>Weekday</x:v>
      </x:c>
      <x:c r="F332" s="41" t="str">
        <x:v>Vol. IV — Ordinary Time</x:v>
      </x:c>
      <x:c r="G332" s="42" t="str">
        <x:v>Psalter Week I (OT Week 33)</x:v>
      </x:c>
      <x:c r="H332" s="42" t="str">
        <x:v>Proper of Seasons + Psalter Week I (OT Week 33); weekday Office of Readings.</x:v>
      </x:c>
      <x:c r="I332" s="42" t="str">
        <x:v>Proper of Seasons + Psalter Week I (OT Week 33); weekday Morning Prayer.</x:v>
      </x:c>
      <x:c r="J332" s="42" t="str">
        <x:v>Proper of Seasons + Psalter Week I (OT Week 33); choose Midmorning, Midday, or Midafternoon Prayer.</x:v>
      </x:c>
      <x:c r="K332" s="42" t="str">
        <x:v>Proper of Seasons + Psalter Week I (OT Week 33); weekday Evening Prayer.</x:v>
      </x:c>
      <x:c r="L332" s="42" t="str">
        <x:v>Night Prayer for Friday.</x:v>
      </x:c>
      <x:c r="M33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33">
      <x:c r="A333" s="40" t="n">
        <x:v>46347</x:v>
      </x:c>
      <x:c r="B333" s="41" t="str">
        <x:v>Saturday</x:v>
      </x:c>
      <x:c r="C333" s="133" t="str">
        <x:v>Ordinary Time</x:v>
      </x:c>
      <x:c r="D333" s="41" t="str">
        <x:v>Presentation of the Blessed Virgin Mary</x:v>
      </x:c>
      <x:c r="E333" s="41" t="str">
        <x:v>Memorial</x:v>
      </x:c>
      <x:c r="F333" s="41" t="str">
        <x:v>Vol. IV — Ordinary Time</x:v>
      </x:c>
      <x:c r="G333" s="42" t="str">
        <x:v>Psalter Week I (OT Week 33)</x:v>
      </x:c>
      <x:c r="H333" s="42" t="str">
        <x:v>Psalter Week I (OT Week 33); Proper of Saints for the saint's proper reading/prayer; Common where directed.</x:v>
      </x:c>
      <x:c r="I333" s="42" t="str">
        <x:v>Psalter Week I (OT Week 33); Morning Prayer with Proper of Saints/Common elements as directed.</x:v>
      </x:c>
      <x:c r="J333" s="42" t="str">
        <x:v>Psalter Week I (OT Week 33); Daytime Prayer of the season; use the memorial's concluding prayer where directed.</x:v>
      </x:c>
      <x:c r="K333" s="42" t="str">
        <x:v>First Vespers of tomorrow's solemnity: Our Lord Jesus Christ, King of the Universe — Proper/Common as directed.</x:v>
      </x:c>
      <x:c r="L333" s="42" t="str">
        <x:v>Night Prayer I of Sunday/Solemnity after First Vespers.</x:v>
      </x:c>
      <x:c r="M333" s="42" t="str">
        <x:v>On a memorial, weekday psalmody ordinarily remains unless proper psalmody is provided; the Proper of Saints directs what is replaced. This evening is governed by tomorrow's solemnity.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34">
      <x:c r="A334" s="40" t="n">
        <x:v>46348</x:v>
      </x:c>
      <x:c r="B334" s="41" t="str">
        <x:v>Sunday</x:v>
      </x:c>
      <x:c r="C334" s="133" t="str">
        <x:v>Ordinary Time</x:v>
      </x:c>
      <x:c r="D334" s="131" t="str">
        <x:v>Our Lord Jesus Christ, King of the Universe</x:v>
      </x:c>
      <x:c r="E334" s="131" t="str">
        <x:v>Solemnity</x:v>
      </x:c>
      <x:c r="F334" s="131" t="str">
        <x:v>Vol. IV — Ordinary Time</x:v>
      </x:c>
      <x:c r="G334" s="132" t="str">
        <x:v>Proper / Common</x:v>
      </x:c>
      <x:c r="H334" s="42" t="str">
        <x:v>Proper of Seasons/Saints → Solemnity; use Common only where the proper directs.</x:v>
      </x:c>
      <x:c r="I334" s="42" t="str">
        <x:v>Proper of Seasons/Saints → Morning Prayer of the solemnity.</x:v>
      </x:c>
      <x:c r="J334" s="42" t="str">
        <x:v>Daytime Prayer of the solemnity; use complementary psalmody if the rubric directs.</x:v>
      </x:c>
      <x:c r="K334" s="42" t="str">
        <x:v>Evening Prayer II of the solemnity (Proper/Common as directed).</x:v>
      </x:c>
      <x:c r="L334" s="42" t="str">
        <x:v>Night Prayer II of Sunday/Solemnity after Evening Prayer II.</x:v>
      </x:c>
      <x:c r="M334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35">
      <x:c r="A335" s="40" t="n">
        <x:v>46349</x:v>
      </x:c>
      <x:c r="B335" s="41" t="str">
        <x:v>Monday</x:v>
      </x:c>
      <x:c r="C335" s="133" t="str">
        <x:v>Ordinary Time</x:v>
      </x:c>
      <x:c r="D335" s="41" t="str">
        <x:v>Weekday in Ordinary Time</x:v>
      </x:c>
      <x:c r="E335" s="41" t="str">
        <x:v>Weekday</x:v>
      </x:c>
      <x:c r="F335" s="41" t="str">
        <x:v>Vol. IV — Ordinary Time</x:v>
      </x:c>
      <x:c r="G335" s="42" t="str">
        <x:v>Psalter Week II (OT Week 34)</x:v>
      </x:c>
      <x:c r="H335" s="42" t="str">
        <x:v>Proper of Seasons + Psalter Week II (OT Week 34); weekday Office of Readings. Optional memorial may be inserted from the Proper of Saints if chosen.</x:v>
      </x:c>
      <x:c r="I335" s="42" t="str">
        <x:v>Proper of Seasons + Psalter Week II (OT Week 34); weekday Morning Prayer. Optional memorial may be inserted from the Proper of Saints if chosen.</x:v>
      </x:c>
      <x:c r="J335" s="42" t="str">
        <x:v>Proper of Seasons + Psalter Week II (OT Week 34); choose Midmorning, Midday, or Midafternoon Prayer.</x:v>
      </x:c>
      <x:c r="K335" s="42" t="str">
        <x:v>Proper of Seasons + Psalter Week II (OT Week 34); weekday Evening Prayer. Optional memorial may be inserted from the Proper of Saints if chosen.</x:v>
      </x:c>
      <x:c r="L335" s="42" t="str">
        <x:v>Night Prayer for Monday.</x:v>
      </x:c>
      <x:c r="M33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36">
      <x:c r="A336" s="40" t="n">
        <x:v>46350</x:v>
      </x:c>
      <x:c r="B336" s="41" t="str">
        <x:v>Tuesday</x:v>
      </x:c>
      <x:c r="C336" s="133" t="str">
        <x:v>Ordinary Time</x:v>
      </x:c>
      <x:c r="D336" s="41" t="str">
        <x:v>Saint Andrew Dũng-Lạc and Companions</x:v>
      </x:c>
      <x:c r="E336" s="41" t="str">
        <x:v>Memorial</x:v>
      </x:c>
      <x:c r="F336" s="41" t="str">
        <x:v>Vol. IV — Ordinary Time</x:v>
      </x:c>
      <x:c r="G336" s="42" t="str">
        <x:v>Psalter Week II (OT Week 34)</x:v>
      </x:c>
      <x:c r="H336" s="42" t="str">
        <x:v>Psalter Week II (OT Week 34); Proper of Saints for the saint's proper reading/prayer; Common where directed.</x:v>
      </x:c>
      <x:c r="I336" s="42" t="str">
        <x:v>Psalter Week II (OT Week 34); Morning Prayer with Proper of Saints/Common elements as directed.</x:v>
      </x:c>
      <x:c r="J336" s="42" t="str">
        <x:v>Psalter Week II (OT Week 34); Daytime Prayer of the season; use the memorial's concluding prayer where directed.</x:v>
      </x:c>
      <x:c r="K336" s="42" t="str">
        <x:v>Psalter Week II (OT Week 34); Evening Prayer with Proper of Saints/Common elements as directed.</x:v>
      </x:c>
      <x:c r="L336" s="42" t="str">
        <x:v>Night Prayer for Tuesday.</x:v>
      </x:c>
      <x:c r="M336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37">
      <x:c r="A337" s="40" t="n">
        <x:v>46351</x:v>
      </x:c>
      <x:c r="B337" s="41" t="str">
        <x:v>Wednesday</x:v>
      </x:c>
      <x:c r="C337" s="133" t="str">
        <x:v>Ordinary Time</x:v>
      </x:c>
      <x:c r="D337" s="41" t="str">
        <x:v>Weekday in Ordinary Time</x:v>
      </x:c>
      <x:c r="E337" s="41" t="str">
        <x:v>Weekday</x:v>
      </x:c>
      <x:c r="F337" s="41" t="str">
        <x:v>Vol. IV — Ordinary Time</x:v>
      </x:c>
      <x:c r="G337" s="42" t="str">
        <x:v>Psalter Week II (OT Week 34)</x:v>
      </x:c>
      <x:c r="H337" s="42" t="str">
        <x:v>Proper of Seasons + Psalter Week II (OT Week 34); weekday Office of Readings. Optional memorial may be inserted from the Proper of Saints if chosen.</x:v>
      </x:c>
      <x:c r="I337" s="42" t="str">
        <x:v>Proper of Seasons + Psalter Week II (OT Week 34); weekday Morning Prayer. Optional memorial may be inserted from the Proper of Saints if chosen.</x:v>
      </x:c>
      <x:c r="J337" s="42" t="str">
        <x:v>Proper of Seasons + Psalter Week II (OT Week 34); choose Midmorning, Midday, or Midafternoon Prayer.</x:v>
      </x:c>
      <x:c r="K337" s="42" t="str">
        <x:v>Proper of Seasons + Psalter Week II (OT Week 34); weekday Evening Prayer. Optional memorial may be inserted from the Proper of Saints if chosen.</x:v>
      </x:c>
      <x:c r="L337" s="42" t="str">
        <x:v>Night Prayer for Wednesday.</x:v>
      </x:c>
      <x:c r="M33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38">
      <x:c r="A338" s="40" t="n">
        <x:v>46352</x:v>
      </x:c>
      <x:c r="B338" s="41" t="str">
        <x:v>Thursday</x:v>
      </x:c>
      <x:c r="C338" s="133" t="str">
        <x:v>Ordinary Time</x:v>
      </x:c>
      <x:c r="D338" s="41" t="str">
        <x:v>Weekday in Ordinary Time</x:v>
      </x:c>
      <x:c r="E338" s="41" t="str">
        <x:v>Weekday</x:v>
      </x:c>
      <x:c r="F338" s="41" t="str">
        <x:v>Vol. IV — Ordinary Time</x:v>
      </x:c>
      <x:c r="G338" s="42" t="str">
        <x:v>Psalter Week II (OT Week 34)</x:v>
      </x:c>
      <x:c r="H338" s="42" t="str">
        <x:v>Proper of Seasons + Psalter Week II (OT Week 34); weekday Office of Readings.</x:v>
      </x:c>
      <x:c r="I338" s="42" t="str">
        <x:v>Proper of Seasons + Psalter Week II (OT Week 34); weekday Morning Prayer.</x:v>
      </x:c>
      <x:c r="J338" s="42" t="str">
        <x:v>Proper of Seasons + Psalter Week II (OT Week 34); choose Midmorning, Midday, or Midafternoon Prayer.</x:v>
      </x:c>
      <x:c r="K338" s="42" t="str">
        <x:v>Proper of Seasons + Psalter Week II (OT Week 34); weekday Evening Prayer.</x:v>
      </x:c>
      <x:c r="L338" s="42" t="str">
        <x:v>Night Prayer for Thursday.</x:v>
      </x:c>
      <x:c r="M33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39">
      <x:c r="A339" s="40" t="n">
        <x:v>46353</x:v>
      </x:c>
      <x:c r="B339" s="41" t="str">
        <x:v>Friday</x:v>
      </x:c>
      <x:c r="C339" s="133" t="str">
        <x:v>Ordinary Time</x:v>
      </x:c>
      <x:c r="D339" s="41" t="str">
        <x:v>Weekday in Ordinary Time</x:v>
      </x:c>
      <x:c r="E339" s="41" t="str">
        <x:v>Weekday</x:v>
      </x:c>
      <x:c r="F339" s="41" t="str">
        <x:v>Vol. IV — Ordinary Time</x:v>
      </x:c>
      <x:c r="G339" s="42" t="str">
        <x:v>Psalter Week II (OT Week 34)</x:v>
      </x:c>
      <x:c r="H339" s="42" t="str">
        <x:v>Proper of Seasons + Psalter Week II (OT Week 34); weekday Office of Readings.</x:v>
      </x:c>
      <x:c r="I339" s="42" t="str">
        <x:v>Proper of Seasons + Psalter Week II (OT Week 34); weekday Morning Prayer.</x:v>
      </x:c>
      <x:c r="J339" s="42" t="str">
        <x:v>Proper of Seasons + Psalter Week II (OT Week 34); choose Midmorning, Midday, or Midafternoon Prayer.</x:v>
      </x:c>
      <x:c r="K339" s="42" t="str">
        <x:v>Proper of Seasons + Psalter Week II (OT Week 34); weekday Evening Prayer.</x:v>
      </x:c>
      <x:c r="L339" s="42" t="str">
        <x:v>Night Prayer for Friday.</x:v>
      </x:c>
      <x:c r="M33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40">
      <x:c r="A340" s="40" t="n">
        <x:v>46354</x:v>
      </x:c>
      <x:c r="B340" s="41" t="str">
        <x:v>Saturday</x:v>
      </x:c>
      <x:c r="C340" s="133" t="str">
        <x:v>Ordinary Time</x:v>
      </x:c>
      <x:c r="D340" s="41" t="str">
        <x:v>Weekday in Ordinary Time</x:v>
      </x:c>
      <x:c r="E340" s="41" t="str">
        <x:v>Weekday</x:v>
      </x:c>
      <x:c r="F340" s="41" t="str">
        <x:v>Vol. IV — Ordinary Time</x:v>
      </x:c>
      <x:c r="G340" s="42" t="str">
        <x:v>Psalter Week II (OT Week 34)</x:v>
      </x:c>
      <x:c r="H340" s="42" t="str">
        <x:v>Proper of Seasons + Psalter Week II (OT Week 34); weekday Office of Readings.</x:v>
      </x:c>
      <x:c r="I340" s="42" t="str">
        <x:v>Proper of Seasons + Psalter Week II (OT Week 34); weekday Morning Prayer.</x:v>
      </x:c>
      <x:c r="J340" s="42" t="str">
        <x:v>Proper of Seasons + Psalter Week II (OT Week 34); choose Midmorning, Midday, or Midafternoon Prayer.</x:v>
      </x:c>
      <x:c r="K340" s="42" t="str">
        <x:v>First Vespers of Sunday: First Sunday of Advent — Proper of Seasons + tomorrow's Psalter week.</x:v>
      </x:c>
      <x:c r="L340" s="42" t="str">
        <x:v>Night Prayer I of Sunday after First Vespers.</x:v>
      </x:c>
      <x:c r="M340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41">
      <x:c r="A341" s="40" t="n">
        <x:v>46355</x:v>
      </x:c>
      <x:c r="B341" s="41" t="str">
        <x:v>Sunday</x:v>
      </x:c>
      <x:c r="C341" s="137" t="str">
        <x:v>Advent</x:v>
      </x:c>
      <x:c r="D341" s="41" t="str">
        <x:v>First Sunday of Advent</x:v>
      </x:c>
      <x:c r="E341" s="41" t="str">
        <x:v>Sunday</x:v>
      </x:c>
      <x:c r="F341" s="41" t="str">
        <x:v>Vol. I — Advent &amp; Christmas</x:v>
      </x:c>
      <x:c r="G341" s="42" t="str">
        <x:v>Psalter Week I</x:v>
      </x:c>
      <x:c r="H341" s="42" t="str">
        <x:v>Proper of Seasons + Psalter Week I; Office of Readings for Sunday.</x:v>
      </x:c>
      <x:c r="I341" s="42" t="str">
        <x:v>Proper of Seasons + Psalter Week I; Morning Prayer for Sunday.</x:v>
      </x:c>
      <x:c r="J341" s="42" t="str">
        <x:v>Psalter Week I; Sunday Daytime Prayer + seasonal proper.</x:v>
      </x:c>
      <x:c r="K341" s="42" t="str">
        <x:v>Evening Prayer II of Sunday — Proper of Seasons + Psalter Week I.</x:v>
      </x:c>
      <x:c r="L341" s="42" t="str">
        <x:v>Night Prayer II of Sunday.</x:v>
      </x:c>
      <x:c r="M341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42">
      <x:c r="A342" s="40" t="n">
        <x:v>46356</x:v>
      </x:c>
      <x:c r="B342" s="41" t="str">
        <x:v>Monday</x:v>
      </x:c>
      <x:c r="C342" s="137" t="str">
        <x:v>Advent</x:v>
      </x:c>
      <x:c r="D342" s="131" t="str">
        <x:v>Saint Andrew, Apostle</x:v>
      </x:c>
      <x:c r="E342" s="131" t="str">
        <x:v>Feast</x:v>
      </x:c>
      <x:c r="F342" s="131" t="str">
        <x:v>Vol. I — Advent &amp; Christmas</x:v>
      </x:c>
      <x:c r="G342" s="132" t="str">
        <x:v>Proper / Common</x:v>
      </x:c>
      <x:c r="H342" s="42" t="str">
        <x:v>Proper of Seasons/Saints → Feast; use Common where directed.</x:v>
      </x:c>
      <x:c r="I342" s="42" t="str">
        <x:v>Proper of the Feast/Common as directed; use feast psalmody where provided.</x:v>
      </x:c>
      <x:c r="J342" s="42" t="str">
        <x:v>Proper / Common; Daytime Prayer of the season, with the feast's proper elements where directed.</x:v>
      </x:c>
      <x:c r="K342" s="42" t="str">
        <x:v>Proper of the Feast/Common as directed for Evening Prayer.</x:v>
      </x:c>
      <x:c r="L342" s="42" t="str">
        <x:v>Night Prayer for Monday.</x:v>
      </x:c>
      <x:c r="M342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343">
      <x:c r="A343" s="40" t="n">
        <x:v>46357</x:v>
      </x:c>
      <x:c r="B343" s="41" t="str">
        <x:v>Tuesday</x:v>
      </x:c>
      <x:c r="C343" s="137" t="str">
        <x:v>Advent</x:v>
      </x:c>
      <x:c r="D343" s="41" t="str">
        <x:v>Advent Weekday</x:v>
      </x:c>
      <x:c r="E343" s="41" t="str">
        <x:v>Weekday</x:v>
      </x:c>
      <x:c r="F343" s="41" t="str">
        <x:v>Vol. I — Advent &amp; Christmas</x:v>
      </x:c>
      <x:c r="G343" s="42" t="str">
        <x:v>Psalter Week I</x:v>
      </x:c>
      <x:c r="H343" s="42" t="str">
        <x:v>Proper of Seasons + Psalter Week I; weekday Office of Readings.</x:v>
      </x:c>
      <x:c r="I343" s="42" t="str">
        <x:v>Proper of Seasons + Psalter Week I; weekday Morning Prayer.</x:v>
      </x:c>
      <x:c r="J343" s="42" t="str">
        <x:v>Proper of Seasons + Psalter Week I; choose Midmorning, Midday, or Midafternoon Prayer.</x:v>
      </x:c>
      <x:c r="K343" s="42" t="str">
        <x:v>Proper of Seasons + Psalter Week I; weekday Evening Prayer.</x:v>
      </x:c>
      <x:c r="L343" s="42" t="str">
        <x:v>Night Prayer for Tuesday.</x:v>
      </x:c>
      <x:c r="M34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44">
      <x:c r="A344" s="40" t="n">
        <x:v>46358</x:v>
      </x:c>
      <x:c r="B344" s="41" t="str">
        <x:v>Wednesday</x:v>
      </x:c>
      <x:c r="C344" s="137" t="str">
        <x:v>Advent</x:v>
      </x:c>
      <x:c r="D344" s="41" t="str">
        <x:v>Advent Weekday</x:v>
      </x:c>
      <x:c r="E344" s="41" t="str">
        <x:v>Weekday</x:v>
      </x:c>
      <x:c r="F344" s="41" t="str">
        <x:v>Vol. I — Advent &amp; Christmas</x:v>
      </x:c>
      <x:c r="G344" s="42" t="str">
        <x:v>Psalter Week I</x:v>
      </x:c>
      <x:c r="H344" s="42" t="str">
        <x:v>Proper of Seasons + Psalter Week I; weekday Office of Readings.</x:v>
      </x:c>
      <x:c r="I344" s="42" t="str">
        <x:v>Proper of Seasons + Psalter Week I; weekday Morning Prayer.</x:v>
      </x:c>
      <x:c r="J344" s="42" t="str">
        <x:v>Proper of Seasons + Psalter Week I; choose Midmorning, Midday, or Midafternoon Prayer.</x:v>
      </x:c>
      <x:c r="K344" s="42" t="str">
        <x:v>Proper of Seasons + Psalter Week I; weekday Evening Prayer.</x:v>
      </x:c>
      <x:c r="L344" s="42" t="str">
        <x:v>Night Prayer for Wednesday.</x:v>
      </x:c>
      <x:c r="M34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45">
      <x:c r="A345" s="40" t="n">
        <x:v>46359</x:v>
      </x:c>
      <x:c r="B345" s="41" t="str">
        <x:v>Thursday</x:v>
      </x:c>
      <x:c r="C345" s="137" t="str">
        <x:v>Advent</x:v>
      </x:c>
      <x:c r="D345" s="41" t="str">
        <x:v>Saint Francis Xavier</x:v>
      </x:c>
      <x:c r="E345" s="41" t="str">
        <x:v>Memorial</x:v>
      </x:c>
      <x:c r="F345" s="41" t="str">
        <x:v>Vol. I — Advent &amp; Christmas</x:v>
      </x:c>
      <x:c r="G345" s="42" t="str">
        <x:v>Psalter Week I</x:v>
      </x:c>
      <x:c r="H345" s="42" t="str">
        <x:v>Psalter Week I; Proper of Saints for the saint's proper reading/prayer; Common where directed.</x:v>
      </x:c>
      <x:c r="I345" s="42" t="str">
        <x:v>Psalter Week I; Morning Prayer with Proper of Saints/Common elements as directed.</x:v>
      </x:c>
      <x:c r="J345" s="42" t="str">
        <x:v>Psalter Week I; Daytime Prayer of the season; use the memorial's concluding prayer where directed.</x:v>
      </x:c>
      <x:c r="K345" s="42" t="str">
        <x:v>Psalter Week I; Evening Prayer with Proper of Saints/Common elements as directed.</x:v>
      </x:c>
      <x:c r="L345" s="42" t="str">
        <x:v>Night Prayer for Thursday.</x:v>
      </x:c>
      <x:c r="M345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46">
      <x:c r="A346" s="40" t="n">
        <x:v>46360</x:v>
      </x:c>
      <x:c r="B346" s="41" t="str">
        <x:v>Friday</x:v>
      </x:c>
      <x:c r="C346" s="137" t="str">
        <x:v>Advent</x:v>
      </x:c>
      <x:c r="D346" s="41" t="str">
        <x:v>Advent Weekday</x:v>
      </x:c>
      <x:c r="E346" s="41" t="str">
        <x:v>Weekday</x:v>
      </x:c>
      <x:c r="F346" s="41" t="str">
        <x:v>Vol. I — Advent &amp; Christmas</x:v>
      </x:c>
      <x:c r="G346" s="42" t="str">
        <x:v>Psalter Week I</x:v>
      </x:c>
      <x:c r="H346" s="42" t="str">
        <x:v>Proper of Seasons + Psalter Week I; weekday Office of Readings. Optional memorial may be inserted from the Proper of Saints if chosen.</x:v>
      </x:c>
      <x:c r="I346" s="42" t="str">
        <x:v>Proper of Seasons + Psalter Week I; weekday Morning Prayer. Optional memorial may be inserted from the Proper of Saints if chosen.</x:v>
      </x:c>
      <x:c r="J346" s="42" t="str">
        <x:v>Proper of Seasons + Psalter Week I; choose Midmorning, Midday, or Midafternoon Prayer.</x:v>
      </x:c>
      <x:c r="K346" s="42" t="str">
        <x:v>Proper of Seasons + Psalter Week I; weekday Evening Prayer. Optional memorial may be inserted from the Proper of Saints if chosen.</x:v>
      </x:c>
      <x:c r="L346" s="42" t="str">
        <x:v>Night Prayer for Friday.</x:v>
      </x:c>
      <x:c r="M346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47">
      <x:c r="A347" s="40" t="n">
        <x:v>46361</x:v>
      </x:c>
      <x:c r="B347" s="41" t="str">
        <x:v>Saturday</x:v>
      </x:c>
      <x:c r="C347" s="137" t="str">
        <x:v>Advent</x:v>
      </x:c>
      <x:c r="D347" s="41" t="str">
        <x:v>Advent Weekday</x:v>
      </x:c>
      <x:c r="E347" s="41" t="str">
        <x:v>Weekday</x:v>
      </x:c>
      <x:c r="F347" s="41" t="str">
        <x:v>Vol. I — Advent &amp; Christmas</x:v>
      </x:c>
      <x:c r="G347" s="42" t="str">
        <x:v>Psalter Week I</x:v>
      </x:c>
      <x:c r="H347" s="42" t="str">
        <x:v>Proper of Seasons + Psalter Week I; weekday Office of Readings.</x:v>
      </x:c>
      <x:c r="I347" s="42" t="str">
        <x:v>Proper of Seasons + Psalter Week I; weekday Morning Prayer.</x:v>
      </x:c>
      <x:c r="J347" s="42" t="str">
        <x:v>Proper of Seasons + Psalter Week I; choose Midmorning, Midday, or Midafternoon Prayer.</x:v>
      </x:c>
      <x:c r="K347" s="42" t="str">
        <x:v>First Vespers of Sunday: Second Sunday of Advent — Proper of Seasons + tomorrow's Psalter week.</x:v>
      </x:c>
      <x:c r="L347" s="42" t="str">
        <x:v>Night Prayer I of Sunday after First Vespers.</x:v>
      </x:c>
      <x:c r="M347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48">
      <x:c r="A348" s="40" t="n">
        <x:v>46362</x:v>
      </x:c>
      <x:c r="B348" s="41" t="str">
        <x:v>Sunday</x:v>
      </x:c>
      <x:c r="C348" s="137" t="str">
        <x:v>Advent</x:v>
      </x:c>
      <x:c r="D348" s="41" t="str">
        <x:v>Second Sunday of Advent</x:v>
      </x:c>
      <x:c r="E348" s="41" t="str">
        <x:v>Sunday</x:v>
      </x:c>
      <x:c r="F348" s="41" t="str">
        <x:v>Vol. I — Advent &amp; Christmas</x:v>
      </x:c>
      <x:c r="G348" s="42" t="str">
        <x:v>Psalter Week II</x:v>
      </x:c>
      <x:c r="H348" s="42" t="str">
        <x:v>Proper of Seasons + Psalter Week II; Office of Readings for Sunday.</x:v>
      </x:c>
      <x:c r="I348" s="42" t="str">
        <x:v>Proper of Seasons + Psalter Week II; Morning Prayer for Sunday.</x:v>
      </x:c>
      <x:c r="J348" s="42" t="str">
        <x:v>Psalter Week II; Sunday Daytime Prayer + seasonal proper.</x:v>
      </x:c>
      <x:c r="K348" s="42" t="str">
        <x:v>Evening Prayer II of Sunday — Proper of Seasons + Psalter Week II.</x:v>
      </x:c>
      <x:c r="L348" s="42" t="str">
        <x:v>Night Prayer II of Sunday.</x:v>
      </x:c>
      <x:c r="M348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49">
      <x:c r="A349" s="40" t="n">
        <x:v>46363</x:v>
      </x:c>
      <x:c r="B349" s="41" t="str">
        <x:v>Monday</x:v>
      </x:c>
      <x:c r="C349" s="137" t="str">
        <x:v>Advent</x:v>
      </x:c>
      <x:c r="D349" s="41" t="str">
        <x:v>Saint Ambrose</x:v>
      </x:c>
      <x:c r="E349" s="41" t="str">
        <x:v>Memorial</x:v>
      </x:c>
      <x:c r="F349" s="41" t="str">
        <x:v>Vol. I — Advent &amp; Christmas</x:v>
      </x:c>
      <x:c r="G349" s="42" t="str">
        <x:v>Psalter Week II</x:v>
      </x:c>
      <x:c r="H349" s="42" t="str">
        <x:v>Psalter Week II; Proper of Saints for the saint's proper reading/prayer; Common where directed.</x:v>
      </x:c>
      <x:c r="I349" s="42" t="str">
        <x:v>Psalter Week II; Morning Prayer with Proper of Saints/Common elements as directed.</x:v>
      </x:c>
      <x:c r="J349" s="42" t="str">
        <x:v>Psalter Week II; Daytime Prayer of the season; use the memorial's concluding prayer where directed.</x:v>
      </x:c>
      <x:c r="K349" s="42" t="str">
        <x:v>First Vespers of tomorrow's solemnity: Immaculate Conception of the Blessed Virgin Mary — Proper/Common as directed.</x:v>
      </x:c>
      <x:c r="L349" s="42" t="str">
        <x:v>Night Prayer I of Sunday/Solemnity after First Vespers.</x:v>
      </x:c>
      <x:c r="M349" s="42" t="str">
        <x:v>On a memorial, weekday psalmody ordinarily remains unless proper psalmody is provided; the Proper of Saints directs what is replaced. This evening is governed by tomorrow's solemnity.
https://www.usccb.org/resources/2026cal.pdf
https://www.usccb.org/prayer-and-worship/liturgy-of-the-hours</x:v>
      </x:c>
    </x:row>
    <x:row r="350">
      <x:c r="A350" s="40" t="n">
        <x:v>46364</x:v>
      </x:c>
      <x:c r="B350" s="41" t="str">
        <x:v>Tuesday</x:v>
      </x:c>
      <x:c r="C350" s="137" t="str">
        <x:v>Advent</x:v>
      </x:c>
      <x:c r="D350" s="131" t="str">
        <x:v>Immaculate Conception of the Blessed Virgin Mary</x:v>
      </x:c>
      <x:c r="E350" s="131" t="str">
        <x:v>Solemnity</x:v>
      </x:c>
      <x:c r="F350" s="131" t="str">
        <x:v>Vol. I — Advent &amp; Christmas</x:v>
      </x:c>
      <x:c r="G350" s="132" t="str">
        <x:v>Proper / Common</x:v>
      </x:c>
      <x:c r="H350" s="42" t="str">
        <x:v>Proper of Seasons/Saints → Solemnity; use Common only where the proper directs.</x:v>
      </x:c>
      <x:c r="I350" s="42" t="str">
        <x:v>Proper of Seasons/Saints → Morning Prayer of the solemnity.</x:v>
      </x:c>
      <x:c r="J350" s="42" t="str">
        <x:v>Daytime Prayer of the solemnity; use complementary psalmody if the rubric directs.</x:v>
      </x:c>
      <x:c r="K350" s="42" t="str">
        <x:v>Evening Prayer II of the solemnity (Proper/Common as directed).</x:v>
      </x:c>
      <x:c r="L350" s="42" t="str">
        <x:v>Night Prayer II of Sunday/Solemnity after Evening Prayer II.</x:v>
      </x:c>
      <x:c r="M350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51">
      <x:c r="A351" s="40" t="n">
        <x:v>46365</x:v>
      </x:c>
      <x:c r="B351" s="41" t="str">
        <x:v>Wednesday</x:v>
      </x:c>
      <x:c r="C351" s="137" t="str">
        <x:v>Advent</x:v>
      </x:c>
      <x:c r="D351" s="41" t="str">
        <x:v>Advent Weekday</x:v>
      </x:c>
      <x:c r="E351" s="41" t="str">
        <x:v>Weekday</x:v>
      </x:c>
      <x:c r="F351" s="41" t="str">
        <x:v>Vol. I — Advent &amp; Christmas</x:v>
      </x:c>
      <x:c r="G351" s="42" t="str">
        <x:v>Psalter Week II</x:v>
      </x:c>
      <x:c r="H351" s="42" t="str">
        <x:v>Proper of Seasons + Psalter Week II; weekday Office of Readings. Optional memorial may be inserted from the Proper of Saints if chosen.</x:v>
      </x:c>
      <x:c r="I351" s="42" t="str">
        <x:v>Proper of Seasons + Psalter Week II; weekday Morning Prayer. Optional memorial may be inserted from the Proper of Saints if chosen.</x:v>
      </x:c>
      <x:c r="J351" s="42" t="str">
        <x:v>Proper of Seasons + Psalter Week II; choose Midmorning, Midday, or Midafternoon Prayer.</x:v>
      </x:c>
      <x:c r="K351" s="42" t="str">
        <x:v>Proper of Seasons + Psalter Week II; weekday Evening Prayer. Optional memorial may be inserted from the Proper of Saints if chosen.</x:v>
      </x:c>
      <x:c r="L351" s="42" t="str">
        <x:v>Night Prayer for Wednesday.</x:v>
      </x:c>
      <x:c r="M35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52">
      <x:c r="A352" s="40" t="n">
        <x:v>46366</x:v>
      </x:c>
      <x:c r="B352" s="41" t="str">
        <x:v>Thursday</x:v>
      </x:c>
      <x:c r="C352" s="137" t="str">
        <x:v>Advent</x:v>
      </x:c>
      <x:c r="D352" s="41" t="str">
        <x:v>Advent Weekday</x:v>
      </x:c>
      <x:c r="E352" s="41" t="str">
        <x:v>Weekday</x:v>
      </x:c>
      <x:c r="F352" s="41" t="str">
        <x:v>Vol. I — Advent &amp; Christmas</x:v>
      </x:c>
      <x:c r="G352" s="42" t="str">
        <x:v>Psalter Week II</x:v>
      </x:c>
      <x:c r="H352" s="42" t="str">
        <x:v>Proper of Seasons + Psalter Week II; weekday Office of Readings. Optional memorial may be inserted from the Proper of Saints if chosen.</x:v>
      </x:c>
      <x:c r="I352" s="42" t="str">
        <x:v>Proper of Seasons + Psalter Week II; weekday Morning Prayer. Optional memorial may be inserted from the Proper of Saints if chosen.</x:v>
      </x:c>
      <x:c r="J352" s="42" t="str">
        <x:v>Proper of Seasons + Psalter Week II; choose Midmorning, Midday, or Midafternoon Prayer.</x:v>
      </x:c>
      <x:c r="K352" s="42" t="str">
        <x:v>Proper of Seasons + Psalter Week II; weekday Evening Prayer. Optional memorial may be inserted from the Proper of Saints if chosen.</x:v>
      </x:c>
      <x:c r="L352" s="42" t="str">
        <x:v>Night Prayer for Thursday.</x:v>
      </x:c>
      <x:c r="M35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53">
      <x:c r="A353" s="40" t="n">
        <x:v>46367</x:v>
      </x:c>
      <x:c r="B353" s="41" t="str">
        <x:v>Friday</x:v>
      </x:c>
      <x:c r="C353" s="137" t="str">
        <x:v>Advent</x:v>
      </x:c>
      <x:c r="D353" s="41" t="str">
        <x:v>Advent Weekday</x:v>
      </x:c>
      <x:c r="E353" s="41" t="str">
        <x:v>Weekday</x:v>
      </x:c>
      <x:c r="F353" s="41" t="str">
        <x:v>Vol. I — Advent &amp; Christmas</x:v>
      </x:c>
      <x:c r="G353" s="42" t="str">
        <x:v>Psalter Week II</x:v>
      </x:c>
      <x:c r="H353" s="42" t="str">
        <x:v>Proper of Seasons + Psalter Week II; weekday Office of Readings. Optional memorial may be inserted from the Proper of Saints if chosen.</x:v>
      </x:c>
      <x:c r="I353" s="42" t="str">
        <x:v>Proper of Seasons + Psalter Week II; weekday Morning Prayer. Optional memorial may be inserted from the Proper of Saints if chosen.</x:v>
      </x:c>
      <x:c r="J353" s="42" t="str">
        <x:v>Proper of Seasons + Psalter Week II; choose Midmorning, Midday, or Midafternoon Prayer.</x:v>
      </x:c>
      <x:c r="K353" s="42" t="str">
        <x:v>Proper of Seasons + Psalter Week II; weekday Evening Prayer. Optional memorial may be inserted from the Proper of Saints if chosen.</x:v>
      </x:c>
      <x:c r="L353" s="42" t="str">
        <x:v>Night Prayer for Friday.</x:v>
      </x:c>
      <x:c r="M35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54">
      <x:c r="A354" s="40" t="n">
        <x:v>46368</x:v>
      </x:c>
      <x:c r="B354" s="41" t="str">
        <x:v>Saturday</x:v>
      </x:c>
      <x:c r="C354" s="137" t="str">
        <x:v>Advent</x:v>
      </x:c>
      <x:c r="D354" s="131" t="str">
        <x:v>Our Lady of Guadalupe</x:v>
      </x:c>
      <x:c r="E354" s="131" t="str">
        <x:v>Feast</x:v>
      </x:c>
      <x:c r="F354" s="131" t="str">
        <x:v>Vol. I — Advent &amp; Christmas</x:v>
      </x:c>
      <x:c r="G354" s="132" t="str">
        <x:v>Proper / Common</x:v>
      </x:c>
      <x:c r="H354" s="42" t="str">
        <x:v>Proper of Seasons/Saints → Feast; use Common where directed.</x:v>
      </x:c>
      <x:c r="I354" s="42" t="str">
        <x:v>Proper of the Feast/Common as directed; use feast psalmody where provided.</x:v>
      </x:c>
      <x:c r="J354" s="42" t="str">
        <x:v>Proper / Common; Daytime Prayer of the season, with the feast's proper elements where directed.</x:v>
      </x:c>
      <x:c r="K354" s="42" t="str">
        <x:v>First Vespers of Sunday: Third Sunday of Advent — Gaudete — Proper of Seasons + tomorrow's Psalter week.</x:v>
      </x:c>
      <x:c r="L354" s="42" t="str">
        <x:v>Night Prayer I of Sunday after First Vespers.</x:v>
      </x:c>
      <x:c r="M354" s="42" t="str">
        <x:v>Feasts use their proper/Common at the principal Hours; Daytime Prayer usually retains the current seasonal/psalter framework unless directed otherwise.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55">
      <x:c r="A355" s="40" t="n">
        <x:v>46369</x:v>
      </x:c>
      <x:c r="B355" s="41" t="str">
        <x:v>Sunday</x:v>
      </x:c>
      <x:c r="C355" s="137" t="str">
        <x:v>Advent</x:v>
      </x:c>
      <x:c r="D355" s="41" t="str">
        <x:v>Third Sunday of Advent — Gaudete</x:v>
      </x:c>
      <x:c r="E355" s="41" t="str">
        <x:v>Sunday</x:v>
      </x:c>
      <x:c r="F355" s="41" t="str">
        <x:v>Vol. I — Advent &amp; Christmas</x:v>
      </x:c>
      <x:c r="G355" s="42" t="str">
        <x:v>Psalter Week III</x:v>
      </x:c>
      <x:c r="H355" s="42" t="str">
        <x:v>Proper of Seasons + Psalter Week III; Office of Readings for Sunday.</x:v>
      </x:c>
      <x:c r="I355" s="42" t="str">
        <x:v>Proper of Seasons + Psalter Week III; Morning Prayer for Sunday.</x:v>
      </x:c>
      <x:c r="J355" s="42" t="str">
        <x:v>Psalter Week III; Sunday Daytime Prayer + seasonal proper.</x:v>
      </x:c>
      <x:c r="K355" s="42" t="str">
        <x:v>Evening Prayer II of Sunday — Proper of Seasons + Psalter Week III.</x:v>
      </x:c>
      <x:c r="L355" s="42" t="str">
        <x:v>Night Prayer II of Sunday.</x:v>
      </x:c>
      <x:c r="M355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56">
      <x:c r="A356" s="40" t="n">
        <x:v>46370</x:v>
      </x:c>
      <x:c r="B356" s="41" t="str">
        <x:v>Monday</x:v>
      </x:c>
      <x:c r="C356" s="137" t="str">
        <x:v>Advent</x:v>
      </x:c>
      <x:c r="D356" s="41" t="str">
        <x:v>Saint John of the Cross</x:v>
      </x:c>
      <x:c r="E356" s="41" t="str">
        <x:v>Memorial</x:v>
      </x:c>
      <x:c r="F356" s="41" t="str">
        <x:v>Vol. I — Advent &amp; Christmas</x:v>
      </x:c>
      <x:c r="G356" s="42" t="str">
        <x:v>Psalter Week III</x:v>
      </x:c>
      <x:c r="H356" s="42" t="str">
        <x:v>Psalter Week III; Proper of Saints for the saint's proper reading/prayer; Common where directed.</x:v>
      </x:c>
      <x:c r="I356" s="42" t="str">
        <x:v>Psalter Week III; Morning Prayer with Proper of Saints/Common elements as directed.</x:v>
      </x:c>
      <x:c r="J356" s="42" t="str">
        <x:v>Psalter Week III; Daytime Prayer of the season; use the memorial's concluding prayer where directed.</x:v>
      </x:c>
      <x:c r="K356" s="42" t="str">
        <x:v>Psalter Week III; Evening Prayer with Proper of Saints/Common elements as directed.</x:v>
      </x:c>
      <x:c r="L356" s="42" t="str">
        <x:v>Night Prayer for Monday.</x:v>
      </x:c>
      <x:c r="M356" s="42" t="str">
        <x:v>On a memorial, weekday psalmody ordinarily remains unless proper psalmody is provided; the Proper of Saints directs what is replaced.
https://www.usccb.org/resources/2026cal.pdf
https://www.usccb.org/prayer-and-worship/liturgy-of-the-hours</x:v>
      </x:c>
    </x:row>
    <x:row r="357">
      <x:c r="A357" s="40" t="n">
        <x:v>46371</x:v>
      </x:c>
      <x:c r="B357" s="41" t="str">
        <x:v>Tuesday</x:v>
      </x:c>
      <x:c r="C357" s="137" t="str">
        <x:v>Advent</x:v>
      </x:c>
      <x:c r="D357" s="41" t="str">
        <x:v>Advent Weekday</x:v>
      </x:c>
      <x:c r="E357" s="41" t="str">
        <x:v>Weekday</x:v>
      </x:c>
      <x:c r="F357" s="41" t="str">
        <x:v>Vol. I — Advent &amp; Christmas</x:v>
      </x:c>
      <x:c r="G357" s="42" t="str">
        <x:v>Psalter Week III</x:v>
      </x:c>
      <x:c r="H357" s="42" t="str">
        <x:v>Proper of Seasons + Psalter Week III; weekday Office of Readings.</x:v>
      </x:c>
      <x:c r="I357" s="42" t="str">
        <x:v>Proper of Seasons + Psalter Week III; weekday Morning Prayer.</x:v>
      </x:c>
      <x:c r="J357" s="42" t="str">
        <x:v>Proper of Seasons + Psalter Week III; choose Midmorning, Midday, or Midafternoon Prayer.</x:v>
      </x:c>
      <x:c r="K357" s="42" t="str">
        <x:v>Proper of Seasons + Psalter Week III; weekday Evening Prayer.</x:v>
      </x:c>
      <x:c r="L357" s="42" t="str">
        <x:v>Night Prayer for Tuesday.</x:v>
      </x:c>
      <x:c r="M357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58">
      <x:c r="A358" s="40" t="n">
        <x:v>46372</x:v>
      </x:c>
      <x:c r="B358" s="41" t="str">
        <x:v>Wednesday</x:v>
      </x:c>
      <x:c r="C358" s="137" t="str">
        <x:v>Advent</x:v>
      </x:c>
      <x:c r="D358" s="41" t="str">
        <x:v>Advent Weekday</x:v>
      </x:c>
      <x:c r="E358" s="41" t="str">
        <x:v>Weekday</x:v>
      </x:c>
      <x:c r="F358" s="41" t="str">
        <x:v>Vol. I — Advent &amp; Christmas</x:v>
      </x:c>
      <x:c r="G358" s="42" t="str">
        <x:v>Psalter Week III</x:v>
      </x:c>
      <x:c r="H358" s="42" t="str">
        <x:v>Proper of Seasons + Psalter Week III; weekday Office of Readings.</x:v>
      </x:c>
      <x:c r="I358" s="42" t="str">
        <x:v>Proper of Seasons + Psalter Week III; weekday Morning Prayer.</x:v>
      </x:c>
      <x:c r="J358" s="42" t="str">
        <x:v>Proper of Seasons + Psalter Week III; choose Midmorning, Midday, or Midafternoon Prayer.</x:v>
      </x:c>
      <x:c r="K358" s="42" t="str">
        <x:v>Proper of Seasons + Psalter Week III; weekday Evening Prayer.</x:v>
      </x:c>
      <x:c r="L358" s="42" t="str">
        <x:v>Night Prayer for Wednesday.</x:v>
      </x:c>
      <x:c r="M358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59">
      <x:c r="A359" s="40" t="n">
        <x:v>46373</x:v>
      </x:c>
      <x:c r="B359" s="41" t="str">
        <x:v>Thursday</x:v>
      </x:c>
      <x:c r="C359" s="137" t="str">
        <x:v>Advent</x:v>
      </x:c>
      <x:c r="D359" s="41" t="str">
        <x:v>Advent Weekday</x:v>
      </x:c>
      <x:c r="E359" s="41" t="str">
        <x:v>Weekday</x:v>
      </x:c>
      <x:c r="F359" s="41" t="str">
        <x:v>Vol. I — Advent &amp; Christmas</x:v>
      </x:c>
      <x:c r="G359" s="42" t="str">
        <x:v>Psalter Week III</x:v>
      </x:c>
      <x:c r="H359" s="42" t="str">
        <x:v>Proper of Seasons + Psalter Week III; weekday Office of Readings.</x:v>
      </x:c>
      <x:c r="I359" s="42" t="str">
        <x:v>Proper of Seasons + Psalter Week III; weekday Morning Prayer.</x:v>
      </x:c>
      <x:c r="J359" s="42" t="str">
        <x:v>Proper of Seasons + Psalter Week III; choose Midmorning, Midday, or Midafternoon Prayer.</x:v>
      </x:c>
      <x:c r="K359" s="42" t="str">
        <x:v>Proper of Seasons + Psalter Week III; weekday Evening Prayer.</x:v>
      </x:c>
      <x:c r="L359" s="42" t="str">
        <x:v>Night Prayer for Thursday.</x:v>
      </x:c>
      <x:c r="M359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60">
      <x:c r="A360" s="40" t="n">
        <x:v>46374</x:v>
      </x:c>
      <x:c r="B360" s="41" t="str">
        <x:v>Friday</x:v>
      </x:c>
      <x:c r="C360" s="137" t="str">
        <x:v>Advent</x:v>
      </x:c>
      <x:c r="D360" s="41" t="str">
        <x:v>Advent Weekday</x:v>
      </x:c>
      <x:c r="E360" s="41" t="str">
        <x:v>Weekday</x:v>
      </x:c>
      <x:c r="F360" s="41" t="str">
        <x:v>Vol. I — Advent &amp; Christmas</x:v>
      </x:c>
      <x:c r="G360" s="42" t="str">
        <x:v>Psalter Week III</x:v>
      </x:c>
      <x:c r="H360" s="42" t="str">
        <x:v>Proper of Seasons + Psalter Week III; weekday Office of Readings.</x:v>
      </x:c>
      <x:c r="I360" s="42" t="str">
        <x:v>Proper of Seasons + Psalter Week III; weekday Morning Prayer.</x:v>
      </x:c>
      <x:c r="J360" s="42" t="str">
        <x:v>Proper of Seasons + Psalter Week III; choose Midmorning, Midday, or Midafternoon Prayer.</x:v>
      </x:c>
      <x:c r="K360" s="42" t="str">
        <x:v>Proper of Seasons + Psalter Week III; weekday Evening Prayer.</x:v>
      </x:c>
      <x:c r="L360" s="42" t="str">
        <x:v>Night Prayer for Friday.</x:v>
      </x:c>
      <x:c r="M360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61">
      <x:c r="A361" s="40" t="n">
        <x:v>46375</x:v>
      </x:c>
      <x:c r="B361" s="41" t="str">
        <x:v>Saturday</x:v>
      </x:c>
      <x:c r="C361" s="137" t="str">
        <x:v>Advent</x:v>
      </x:c>
      <x:c r="D361" s="41" t="str">
        <x:v>Advent Weekday</x:v>
      </x:c>
      <x:c r="E361" s="41" t="str">
        <x:v>Weekday</x:v>
      </x:c>
      <x:c r="F361" s="41" t="str">
        <x:v>Vol. I — Advent &amp; Christmas</x:v>
      </x:c>
      <x:c r="G361" s="42" t="str">
        <x:v>Psalter Week III</x:v>
      </x:c>
      <x:c r="H361" s="42" t="str">
        <x:v>Proper of Seasons + Psalter Week III; weekday Office of Readings.</x:v>
      </x:c>
      <x:c r="I361" s="42" t="str">
        <x:v>Proper of Seasons + Psalter Week III; weekday Morning Prayer.</x:v>
      </x:c>
      <x:c r="J361" s="42" t="str">
        <x:v>Proper of Seasons + Psalter Week III; choose Midmorning, Midday, or Midafternoon Prayer.</x:v>
      </x:c>
      <x:c r="K361" s="42" t="str">
        <x:v>First Vespers of Sunday: Fourth Sunday of Advent — Proper of Seasons + tomorrow's Psalter week.</x:v>
      </x:c>
      <x:c r="L361" s="42" t="str">
        <x:v>Night Prayer I of Sunday after First Vespers.</x:v>
      </x:c>
      <x:c r="M361" s="42" t="str">
        <x:v>Use the Proper of Seasons first, then the indicated Psalter week; optional memorials are used only if chosen.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62">
      <x:c r="A362" s="40" t="n">
        <x:v>46376</x:v>
      </x:c>
      <x:c r="B362" s="41" t="str">
        <x:v>Sunday</x:v>
      </x:c>
      <x:c r="C362" s="137" t="str">
        <x:v>Advent</x:v>
      </x:c>
      <x:c r="D362" s="41" t="str">
        <x:v>Fourth Sunday of Advent</x:v>
      </x:c>
      <x:c r="E362" s="41" t="str">
        <x:v>Sunday</x:v>
      </x:c>
      <x:c r="F362" s="41" t="str">
        <x:v>Vol. I — Advent &amp; Christmas</x:v>
      </x:c>
      <x:c r="G362" s="42" t="str">
        <x:v>Psalter Week IV</x:v>
      </x:c>
      <x:c r="H362" s="42" t="str">
        <x:v>Proper of Seasons + Psalter Week IV; Office of Readings for Sunday.</x:v>
      </x:c>
      <x:c r="I362" s="42" t="str">
        <x:v>Proper of Seasons + Psalter Week IV; Morning Prayer for Sunday.</x:v>
      </x:c>
      <x:c r="J362" s="42" t="str">
        <x:v>Psalter Week IV; Sunday Daytime Prayer + seasonal proper.</x:v>
      </x:c>
      <x:c r="K362" s="42" t="str">
        <x:v>Evening Prayer II of Sunday — Proper of Seasons + Psalter Week IV.</x:v>
      </x:c>
      <x:c r="L362" s="42" t="str">
        <x:v>Night Prayer II of Sunday.</x:v>
      </x:c>
      <x:c r="M362" s="42" t="str">
        <x:v>Sunday has First Vespers on Saturday evening and Second Vespers on Sunday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63">
      <x:c r="A363" s="40" t="n">
        <x:v>46377</x:v>
      </x:c>
      <x:c r="B363" s="41" t="str">
        <x:v>Monday</x:v>
      </x:c>
      <x:c r="C363" s="137" t="str">
        <x:v>Advent</x:v>
      </x:c>
      <x:c r="D363" s="41" t="str">
        <x:v>Advent Weekday</x:v>
      </x:c>
      <x:c r="E363" s="41" t="str">
        <x:v>Weekday</x:v>
      </x:c>
      <x:c r="F363" s="41" t="str">
        <x:v>Vol. I — Advent &amp; Christmas</x:v>
      </x:c>
      <x:c r="G363" s="42" t="str">
        <x:v>Psalter Week IV</x:v>
      </x:c>
      <x:c r="H363" s="42" t="str">
        <x:v>Proper of Seasons + Psalter Week IV; weekday Office of Readings. Optional memorial may be inserted from the Proper of Saints if chosen.</x:v>
      </x:c>
      <x:c r="I363" s="42" t="str">
        <x:v>Proper of Seasons + Psalter Week IV; weekday Morning Prayer. Optional memorial may be inserted from the Proper of Saints if chosen.</x:v>
      </x:c>
      <x:c r="J363" s="42" t="str">
        <x:v>Proper of Seasons + Psalter Week IV; choose Midmorning, Midday, or Midafternoon Prayer.</x:v>
      </x:c>
      <x:c r="K363" s="42" t="str">
        <x:v>Proper of Seasons + Psalter Week IV; weekday Evening Prayer. Optional memorial may be inserted from the Proper of Saints if chosen.</x:v>
      </x:c>
      <x:c r="L363" s="42" t="str">
        <x:v>Night Prayer for Monday.</x:v>
      </x:c>
      <x:c r="M36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64">
      <x:c r="A364" s="40" t="n">
        <x:v>46378</x:v>
      </x:c>
      <x:c r="B364" s="41" t="str">
        <x:v>Tuesday</x:v>
      </x:c>
      <x:c r="C364" s="137" t="str">
        <x:v>Advent</x:v>
      </x:c>
      <x:c r="D364" s="41" t="str">
        <x:v>Advent Weekday</x:v>
      </x:c>
      <x:c r="E364" s="41" t="str">
        <x:v>Weekday</x:v>
      </x:c>
      <x:c r="F364" s="41" t="str">
        <x:v>Vol. I — Advent &amp; Christmas</x:v>
      </x:c>
      <x:c r="G364" s="42" t="str">
        <x:v>Psalter Week IV</x:v>
      </x:c>
      <x:c r="H364" s="42" t="str">
        <x:v>Proper of Seasons + Psalter Week IV; weekday Office of Readings.</x:v>
      </x:c>
      <x:c r="I364" s="42" t="str">
        <x:v>Proper of Seasons + Psalter Week IV; weekday Morning Prayer.</x:v>
      </x:c>
      <x:c r="J364" s="42" t="str">
        <x:v>Proper of Seasons + Psalter Week IV; choose Midmorning, Midday, or Midafternoon Prayer.</x:v>
      </x:c>
      <x:c r="K364" s="42" t="str">
        <x:v>Proper of Seasons + Psalter Week IV; weekday Evening Prayer.</x:v>
      </x:c>
      <x:c r="L364" s="42" t="str">
        <x:v>Night Prayer for Tuesday.</x:v>
      </x:c>
      <x:c r="M364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65">
      <x:c r="A365" s="40" t="n">
        <x:v>46379</x:v>
      </x:c>
      <x:c r="B365" s="41" t="str">
        <x:v>Wednesday</x:v>
      </x:c>
      <x:c r="C365" s="137" t="str">
        <x:v>Advent</x:v>
      </x:c>
      <x:c r="D365" s="41" t="str">
        <x:v>Advent Weekday</x:v>
      </x:c>
      <x:c r="E365" s="41" t="str">
        <x:v>Weekday</x:v>
      </x:c>
      <x:c r="F365" s="41" t="str">
        <x:v>Vol. I — Advent &amp; Christmas</x:v>
      </x:c>
      <x:c r="G365" s="42" t="str">
        <x:v>Psalter Week IV</x:v>
      </x:c>
      <x:c r="H365" s="42" t="str">
        <x:v>Proper of Seasons + Psalter Week IV; weekday Office of Readings. Optional memorial may be inserted from the Proper of Saints if chosen.</x:v>
      </x:c>
      <x:c r="I365" s="42" t="str">
        <x:v>Proper of Seasons + Psalter Week IV; weekday Morning Prayer. Optional memorial may be inserted from the Proper of Saints if chosen.</x:v>
      </x:c>
      <x:c r="J365" s="42" t="str">
        <x:v>Proper of Seasons + Psalter Week IV; choose Midmorning, Midday, or Midafternoon Prayer.</x:v>
      </x:c>
      <x:c r="K365" s="42" t="str">
        <x:v>Proper of Seasons + Psalter Week IV; weekday Evening Prayer. Optional memorial may be inserted from the Proper of Saints if chosen.</x:v>
      </x:c>
      <x:c r="L365" s="42" t="str">
        <x:v>Night Prayer for Wednesday.</x:v>
      </x:c>
      <x:c r="M365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66">
      <x:c r="A366" s="40" t="n">
        <x:v>46380</x:v>
      </x:c>
      <x:c r="B366" s="41" t="str">
        <x:v>Thursday</x:v>
      </x:c>
      <x:c r="C366" s="137" t="str">
        <x:v>Advent</x:v>
      </x:c>
      <x:c r="D366" s="41" t="str">
        <x:v>Advent Weekday</x:v>
      </x:c>
      <x:c r="E366" s="41" t="str">
        <x:v>Weekday</x:v>
      </x:c>
      <x:c r="F366" s="41" t="str">
        <x:v>Vol. I — Advent &amp; Christmas</x:v>
      </x:c>
      <x:c r="G366" s="42" t="str">
        <x:v>Psalter Week IV</x:v>
      </x:c>
      <x:c r="H366" s="42" t="str">
        <x:v>Proper of Seasons + Psalter Week IV; weekday Office of Readings.</x:v>
      </x:c>
      <x:c r="I366" s="42" t="str">
        <x:v>Proper of Seasons + Psalter Week IV; weekday Morning Prayer.</x:v>
      </x:c>
      <x:c r="J366" s="42" t="str">
        <x:v>Proper of Seasons + Psalter Week IV; choose Midmorning, Midday, or Midafternoon Prayer.</x:v>
      </x:c>
      <x:c r="K366" s="42" t="str">
        <x:v>First Vespers of tomorrow's solemnity: Nativity of the Lord (Christmas) — Proper/Common as directed.</x:v>
      </x:c>
      <x:c r="L366" s="42" t="str">
        <x:v>Night Prayer I of Sunday/Solemnity after First Vespers.</x:v>
      </x:c>
      <x:c r="M366" s="42" t="str">
        <x:v>Use the Proper of Seasons first, then the indicated Psalter week; optional memorials are used only if chosen. This evening is governed by tomorrow's solemnity.
https://www.usccb.org/resources/2026cal.pdf
https://www.usccb.org/prayer-and-worship/liturgy-of-the-hours</x:v>
      </x:c>
    </x:row>
    <x:row r="367">
      <x:c r="A367" s="40" t="n">
        <x:v>46381</x:v>
      </x:c>
      <x:c r="B367" s="41" t="str">
        <x:v>Friday</x:v>
      </x:c>
      <x:c r="C367" s="130" t="str">
        <x:v>Christmas</x:v>
      </x:c>
      <x:c r="D367" s="131" t="str">
        <x:v>Nativity of the Lord (Christmas)</x:v>
      </x:c>
      <x:c r="E367" s="131" t="str">
        <x:v>Solemnity</x:v>
      </x:c>
      <x:c r="F367" s="131" t="str">
        <x:v>Vol. I — Advent &amp; Christmas</x:v>
      </x:c>
      <x:c r="G367" s="132" t="str">
        <x:v>Proper / Common</x:v>
      </x:c>
      <x:c r="H367" s="42" t="str">
        <x:v>Proper of Seasons/Saints → Solemnity; use Common only where the proper directs.</x:v>
      </x:c>
      <x:c r="I367" s="42" t="str">
        <x:v>Proper of Seasons/Saints → Morning Prayer of the solemnity.</x:v>
      </x:c>
      <x:c r="J367" s="42" t="str">
        <x:v>Daytime Prayer of the solemnity; use complementary psalmody if the rubric directs.</x:v>
      </x:c>
      <x:c r="K367" s="42" t="str">
        <x:v>Evening Prayer II of the solemnity (Proper/Common as directed).</x:v>
      </x:c>
      <x:c r="L367" s="42" t="str">
        <x:v>Night Prayer II of Sunday/Solemnity after Evening Prayer II.</x:v>
      </x:c>
      <x:c r="M367" s="42" t="str">
        <x:v>Solemnities normally begin with First Vespers on the preceding evening.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68">
      <x:c r="A368" s="40" t="n">
        <x:v>46382</x:v>
      </x:c>
      <x:c r="B368" s="41" t="str">
        <x:v>Saturday</x:v>
      </x:c>
      <x:c r="C368" s="130" t="str">
        <x:v>Christmas</x:v>
      </x:c>
      <x:c r="D368" s="131" t="str">
        <x:v>Saint Stephen, First Martyr</x:v>
      </x:c>
      <x:c r="E368" s="131" t="str">
        <x:v>Feast</x:v>
      </x:c>
      <x:c r="F368" s="131" t="str">
        <x:v>Vol. I — Advent &amp; Christmas</x:v>
      </x:c>
      <x:c r="G368" s="132" t="str">
        <x:v>Proper / Common</x:v>
      </x:c>
      <x:c r="H368" s="42" t="str">
        <x:v>Proper of Seasons/Saints → Feast; use Common where directed.</x:v>
      </x:c>
      <x:c r="I368" s="42" t="str">
        <x:v>Proper of the Feast/Common as directed; use feast psalmody where provided.</x:v>
      </x:c>
      <x:c r="J368" s="42" t="str">
        <x:v>Proper / Common; Daytime Prayer of the season, with the feast's proper elements where directed.</x:v>
      </x:c>
      <x:c r="K368" s="42" t="str">
        <x:v>First Vespers of Sunday: Holy Family of Jesus, Mary and Joseph — Proper of Seasons + tomorrow's Psalter week.</x:v>
      </x:c>
      <x:c r="L368" s="42" t="str">
        <x:v>Night Prayer I of Sunday after First Vespers.</x:v>
      </x:c>
      <x:c r="M368" s="42" t="str">
        <x:v>Feasts use their proper/Common at the principal Hours; Daytime Prayer usually retains the current seasonal/psalter framework unless directed otherwise. Saturday evening begins the Sunday office.
https://www.usccb.org/resources/2026cal.pdf
https://www.usccb.org/prayer-and-worship/liturgy-of-the-hours
https://www.vatican.va/archive/hist_councils/ii_vatican_council/documents/vat-ii_const_19631204_sacrosanctum-concilium_en.html</x:v>
      </x:c>
    </x:row>
    <x:row r="369">
      <x:c r="A369" s="40" t="n">
        <x:v>46383</x:v>
      </x:c>
      <x:c r="B369" s="41" t="str">
        <x:v>Sunday</x:v>
      </x:c>
      <x:c r="C369" s="130" t="str">
        <x:v>Christmas</x:v>
      </x:c>
      <x:c r="D369" s="131" t="str">
        <x:v>Holy Family of Jesus, Mary and Joseph</x:v>
      </x:c>
      <x:c r="E369" s="131" t="str">
        <x:v>Feast</x:v>
      </x:c>
      <x:c r="F369" s="131" t="str">
        <x:v>Vol. I — Advent &amp; Christmas</x:v>
      </x:c>
      <x:c r="G369" s="132" t="str">
        <x:v>Proper / Common</x:v>
      </x:c>
      <x:c r="H369" s="42" t="str">
        <x:v>Proper of Seasons/Saints → Feast; use Common where directed.</x:v>
      </x:c>
      <x:c r="I369" s="42" t="str">
        <x:v>Proper of the Feast/Common as directed; use feast psalmody where provided.</x:v>
      </x:c>
      <x:c r="J369" s="42" t="str">
        <x:v>Proper / Common; Daytime Prayer of the season, with the feast's proper elements where directed.</x:v>
      </x:c>
      <x:c r="K369" s="42" t="str">
        <x:v>Proper of the Feast/Common as directed for Evening Prayer.</x:v>
      </x:c>
      <x:c r="L369" s="42" t="str">
        <x:v>Night Prayer for Sunday.</x:v>
      </x:c>
      <x:c r="M369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370">
      <x:c r="A370" s="40" t="n">
        <x:v>46384</x:v>
      </x:c>
      <x:c r="B370" s="41" t="str">
        <x:v>Monday</x:v>
      </x:c>
      <x:c r="C370" s="130" t="str">
        <x:v>Christmas</x:v>
      </x:c>
      <x:c r="D370" s="131" t="str">
        <x:v>Holy Innocents, Martyrs</x:v>
      </x:c>
      <x:c r="E370" s="131" t="str">
        <x:v>Feast</x:v>
      </x:c>
      <x:c r="F370" s="131" t="str">
        <x:v>Vol. I — Advent &amp; Christmas</x:v>
      </x:c>
      <x:c r="G370" s="132" t="str">
        <x:v>Proper / Common</x:v>
      </x:c>
      <x:c r="H370" s="42" t="str">
        <x:v>Proper of Seasons/Saints → Feast; use Common where directed.</x:v>
      </x:c>
      <x:c r="I370" s="42" t="str">
        <x:v>Proper of the Feast/Common as directed; use feast psalmody where provided.</x:v>
      </x:c>
      <x:c r="J370" s="42" t="str">
        <x:v>Proper / Common; Daytime Prayer of the season, with the feast's proper elements where directed.</x:v>
      </x:c>
      <x:c r="K370" s="42" t="str">
        <x:v>Proper of the Feast/Common as directed for Evening Prayer.</x:v>
      </x:c>
      <x:c r="L370" s="42" t="str">
        <x:v>Night Prayer for Monday.</x:v>
      </x:c>
      <x:c r="M370" s="42" t="str">
        <x:v>Feasts use their proper/Common at the principal Hours; Daytime Prayer usually retains the current seasonal/psalter framework unless directed otherwise.
https://www.usccb.org/resources/2026cal.pdf
https://www.usccb.org/prayer-and-worship/liturgy-of-the-hours</x:v>
      </x:c>
    </x:row>
    <x:row r="371">
      <x:c r="A371" s="40" t="n">
        <x:v>46385</x:v>
      </x:c>
      <x:c r="B371" s="41" t="str">
        <x:v>Tuesday</x:v>
      </x:c>
      <x:c r="C371" s="130" t="str">
        <x:v>Christmas</x:v>
      </x:c>
      <x:c r="D371" s="41" t="str">
        <x:v>Christmas Weekday</x:v>
      </x:c>
      <x:c r="E371" s="41" t="str">
        <x:v>Weekday</x:v>
      </x:c>
      <x:c r="F371" s="41" t="str">
        <x:v>Vol. I — Advent &amp; Christmas</x:v>
      </x:c>
      <x:c r="G371" s="42" t="str">
        <x:v>Proper — Christmas</x:v>
      </x:c>
      <x:c r="H371" s="42" t="str">
        <x:v>Proper of Seasons + Proper — Christmas; weekday Office of Readings. Optional memorial may be inserted from the Proper of Saints if chosen.</x:v>
      </x:c>
      <x:c r="I371" s="42" t="str">
        <x:v>Proper of Seasons + Proper — Christmas; weekday Morning Prayer. Optional memorial may be inserted from the Proper of Saints if chosen.</x:v>
      </x:c>
      <x:c r="J371" s="42" t="str">
        <x:v>Proper of Seasons + Proper — Christmas; choose Midmorning, Midday, or Midafternoon Prayer.</x:v>
      </x:c>
      <x:c r="K371" s="42" t="str">
        <x:v>Proper of Seasons + Proper — Christmas; weekday Evening Prayer. Optional memorial may be inserted from the Proper of Saints if chosen.</x:v>
      </x:c>
      <x:c r="L371" s="42" t="str">
        <x:v>Night Prayer for Tuesday.</x:v>
      </x:c>
      <x:c r="M371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72">
      <x:c r="A372" s="40" t="n">
        <x:v>46386</x:v>
      </x:c>
      <x:c r="B372" s="41" t="str">
        <x:v>Wednesday</x:v>
      </x:c>
      <x:c r="C372" s="130" t="str">
        <x:v>Christmas</x:v>
      </x:c>
      <x:c r="D372" s="41" t="str">
        <x:v>Christmas Weekday</x:v>
      </x:c>
      <x:c r="E372" s="41" t="str">
        <x:v>Weekday</x:v>
      </x:c>
      <x:c r="F372" s="41" t="str">
        <x:v>Vol. I — Advent &amp; Christmas</x:v>
      </x:c>
      <x:c r="G372" s="42" t="str">
        <x:v>Proper — Christmas</x:v>
      </x:c>
      <x:c r="H372" s="42" t="str">
        <x:v>Proper of Seasons + Proper — Christmas; weekday Office of Readings.</x:v>
      </x:c>
      <x:c r="I372" s="42" t="str">
        <x:v>Proper of Seasons + Proper — Christmas; weekday Morning Prayer.</x:v>
      </x:c>
      <x:c r="J372" s="42" t="str">
        <x:v>Proper of Seasons + Proper — Christmas; choose Midmorning, Midday, or Midafternoon Prayer.</x:v>
      </x:c>
      <x:c r="K372" s="42" t="str">
        <x:v>Proper of Seasons + Proper — Christmas; weekday Evening Prayer.</x:v>
      </x:c>
      <x:c r="L372" s="42" t="str">
        <x:v>Night Prayer for Wednesday.</x:v>
      </x:c>
      <x:c r="M372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  <x:row r="373">
      <x:c r="A373" s="40" t="n">
        <x:v>46387</x:v>
      </x:c>
      <x:c r="B373" s="41" t="str">
        <x:v>Thursday</x:v>
      </x:c>
      <x:c r="C373" s="130" t="str">
        <x:v>Christmas</x:v>
      </x:c>
      <x:c r="D373" s="41" t="str">
        <x:v>Christmas Weekday</x:v>
      </x:c>
      <x:c r="E373" s="41" t="str">
        <x:v>Weekday</x:v>
      </x:c>
      <x:c r="F373" s="41" t="str">
        <x:v>Vol. I — Advent &amp; Christmas</x:v>
      </x:c>
      <x:c r="G373" s="42" t="str">
        <x:v>Proper — Christmas</x:v>
      </x:c>
      <x:c r="H373" s="42" t="str">
        <x:v>Proper of Seasons + Proper — Christmas; weekday Office of Readings. Optional memorial may be inserted from the Proper of Saints if chosen.</x:v>
      </x:c>
      <x:c r="I373" s="42" t="str">
        <x:v>Proper of Seasons + Proper — Christmas; weekday Morning Prayer. Optional memorial may be inserted from the Proper of Saints if chosen.</x:v>
      </x:c>
      <x:c r="J373" s="42" t="str">
        <x:v>Proper of Seasons + Proper — Christmas; choose Midmorning, Midday, or Midafternoon Prayer.</x:v>
      </x:c>
      <x:c r="K373" s="42" t="str">
        <x:v>Proper of Seasons + Proper — Christmas; weekday Evening Prayer. Optional memorial may be inserted from the Proper of Saints if chosen.</x:v>
      </x:c>
      <x:c r="L373" s="42" t="str">
        <x:v>Night Prayer for Thursday.</x:v>
      </x:c>
      <x:c r="M373" s="42" t="str">
        <x:v>Use the Proper of Seasons first, then the indicated Psalter week; optional memorials are used only if chosen.
https://www.usccb.org/resources/2026cal.pdf
https://www.usccb.org/prayer-and-worship/liturgy-of-the-hours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909106da262d481b"/>
  </x:tableParts>
</x:worksheet>
</file>